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228"/>
  <workbookPr/>
  <mc:AlternateContent xmlns:mc="http://schemas.openxmlformats.org/markup-compatibility/2006">
    <mc:Choice Requires="x15">
      <x15ac:absPath xmlns:x15ac="http://schemas.microsoft.com/office/spreadsheetml/2010/11/ac" url="https://studentderbycollegeac-my.sharepoint.com/personal/heather_withington_derby-college_ac_uk/Documents/Desktop/HE webpages audit/HE tabs and documents/Documentation (urgent)/(Urgent) Office for Students/"/>
    </mc:Choice>
  </mc:AlternateContent>
  <xr:revisionPtr revIDLastSave="0" documentId="8_{D8BC755B-AC72-4493-A30B-0B3487C31C79}" xr6:coauthVersionLast="47" xr6:coauthVersionMax="47" xr10:uidLastSave="{00000000-0000-0000-0000-000000000000}"/>
  <bookViews>
    <workbookView xWindow="20370" yWindow="-120" windowWidth="19440" windowHeight="15000" activeTab="4" xr2:uid="{00000000-000D-0000-FFFF-FFFF00000000}"/>
  </bookViews>
  <sheets>
    <sheet name="Contact" sheetId="2" r:id="rId1"/>
    <sheet name="FT Fee" sheetId="32" r:id="rId2"/>
    <sheet name="FT Fee (Franchise)" sheetId="33" r:id="rId3"/>
    <sheet name="PT Fee" sheetId="34" r:id="rId4"/>
    <sheet name="Fee Summary" sheetId="35" r:id="rId5"/>
    <sheet name="Students &amp; Income" sheetId="5" r:id="rId6"/>
    <sheet name="Activity Investment" sheetId="14" r:id="rId7"/>
    <sheet name="Financial Support" sheetId="17" r:id="rId8"/>
    <sheet name="Investment Summary" sheetId="20" r:id="rId9"/>
    <sheet name="Targets &amp; Milestones" sheetId="22" r:id="rId10"/>
    <sheet name="Sponsorship arrangements" sheetId="37" r:id="rId11"/>
    <sheet name="Validation" sheetId="25" r:id="rId12"/>
    <sheet name="Assurance" sheetId="26" state="hidden" r:id="rId13"/>
    <sheet name="DropDown" sheetId="30" state="hidden" r:id="rId14"/>
    <sheet name="FeeLookup" sheetId="29" state="hidden" r:id="rId15"/>
  </sheets>
  <definedNames>
    <definedName name="_AMO_UniqueIdentifier" localSheetId="4" hidden="1">"'5bdb80a9-fdde-42b3-a393-06ec7fc999f5'"</definedName>
    <definedName name="_AMO_UniqueIdentifier" localSheetId="1" hidden="1">"'5cc685e8-89e6-4fa3-b59c-e76e5c328b56'"</definedName>
    <definedName name="_AMO_UniqueIdentifier" localSheetId="2" hidden="1">"'f2fbe490-2c42-42f7-96d5-586e61975767'"</definedName>
    <definedName name="_AMO_UniqueIdentifier" localSheetId="3" hidden="1">"'f2fbe490-2c42-42f7-96d5-586e61975767'"</definedName>
    <definedName name="_AMO_UniqueIdentifier" localSheetId="10" hidden="1">"'2137f949-ec89-4351-9c40-d452904850bf'"</definedName>
    <definedName name="_AMO_UniqueIdentifier" hidden="1">"'fb10e847-37d1-4b7b-b1ac-68be2525cff0'"</definedName>
    <definedName name="_xlnm.Extract" localSheetId="4">'Fee Summary'!$AH$11</definedName>
    <definedName name="FINS_prefill_1">'Financial Support'!#REF!</definedName>
    <definedName name="FINS_prefill_2">'Financial Support'!#REF!</definedName>
    <definedName name="FINS_prefill_3">'Financial Support'!#REF!</definedName>
    <definedName name="FINS_prefill_4">'Financial Support'!#REF!</definedName>
    <definedName name="FL_rates" localSheetId="4">FeeLookup!$A$5:$E$14</definedName>
    <definedName name="FL_rates" localSheetId="1">FeeLookup!$A$5:$E$14</definedName>
    <definedName name="FL_rates" localSheetId="2">FeeLookup!$A$5:$E$14</definedName>
    <definedName name="FL_rates" localSheetId="3">FeeLookup!$A$5:$E$14</definedName>
    <definedName name="FL_rates" localSheetId="10">FeeLookup!$A$5:$E$22</definedName>
    <definedName name="FL_rates">FeeLookup!$A$5:$E$14</definedName>
    <definedName name="FTF_course_type" localSheetId="4">DropDown!$C$6:$C$15</definedName>
    <definedName name="FTF_course_type" localSheetId="1">DropDown!$C$6:$C$15</definedName>
    <definedName name="FTF_course_type" localSheetId="2">DropDown!$C$6:$C$15</definedName>
    <definedName name="FTF_course_type" localSheetId="3">DropDown!$C$6:$C$15</definedName>
    <definedName name="FTF_course_type" localSheetId="10">DropDown!$C$6:$C$15</definedName>
    <definedName name="FTF_course_type">DropDown!$C$6:$C$15</definedName>
    <definedName name="GEN_yes_no" localSheetId="4">DropDown!$A$6:$A$7</definedName>
    <definedName name="GEN_yes_no" localSheetId="1">DropDown!$A$6:$A$7</definedName>
    <definedName name="GEN_yes_no" localSheetId="2">DropDown!$A$6:$A$7</definedName>
    <definedName name="GEN_yes_no" localSheetId="3">DropDown!$A$6:$A$7</definedName>
    <definedName name="GEN_yes_no" localSheetId="10">DropDown!$A$6:$A$7</definedName>
    <definedName name="GEN_yes_no">DropDown!$A$6:$A$7</definedName>
    <definedName name="inst_name">Contact!$A$2</definedName>
    <definedName name="inst_ukprn">Contact!$A$3</definedName>
    <definedName name="MILE_7a">'Targets &amp; Milestones'!$B$16:$N$55</definedName>
    <definedName name="MILE_7a_other">'Targets &amp; Milestones'!$B$59:$N$98</definedName>
    <definedName name="MILE_7a_prefill">'Targets &amp; Milestones'!$B$59:$N$98</definedName>
    <definedName name="MILE_7a_sql">'Targets &amp; Milestones'!$B$16:$N$55</definedName>
    <definedName name="MILE_7b">'Targets &amp; Milestones'!$B$106:$N$145</definedName>
    <definedName name="MILE_7b_other">'Targets &amp; Milestones'!$B$149:$N$188</definedName>
    <definedName name="MILE_7b_prefill">'Targets &amp; Milestones'!$B$149:$N$188</definedName>
    <definedName name="MILE_7b_sql">'Targets &amp; Milestones'!$B$106:$N$145</definedName>
    <definedName name="MILE_base_yr" localSheetId="4">DropDown!$E$36:$E$43</definedName>
    <definedName name="MILE_base_yr" localSheetId="1">DropDown!$E$36:$E$43</definedName>
    <definedName name="MILE_base_yr" localSheetId="2">DropDown!$E$36:$E$43</definedName>
    <definedName name="MILE_base_yr" localSheetId="3">DropDown!$E$36:$E$43</definedName>
    <definedName name="MILE_base_yr" localSheetId="10">DropDown!$E$36:$E$43</definedName>
    <definedName name="MILE_base_yr">DropDown!$E$36:$E$43</definedName>
    <definedName name="MILE_lifecycle_stage" localSheetId="4">DropDown!$G$21:$G$24</definedName>
    <definedName name="MILE_lifecycle_stage" localSheetId="1">DropDown!$G$21:$G$24</definedName>
    <definedName name="MILE_lifecycle_stage" localSheetId="2">DropDown!$G$21:$G$24</definedName>
    <definedName name="MILE_lifecycle_stage" localSheetId="3">DropDown!$G$21:$G$24</definedName>
    <definedName name="MILE_lifecycle_stage" localSheetId="10">DropDown!$G$21:$G$24</definedName>
    <definedName name="MILE_lifecycle_stage">DropDown!$G$21:$G$24</definedName>
    <definedName name="MILE_target_type" localSheetId="4">DropDown!$E$6:$E$20</definedName>
    <definedName name="MILE_target_type" localSheetId="1">DropDown!$E$6:$E$20</definedName>
    <definedName name="MILE_target_type" localSheetId="2">DropDown!$E$6:$E$20</definedName>
    <definedName name="MILE_target_type" localSheetId="3">DropDown!$E$6:$E$20</definedName>
    <definedName name="MILE_target_type" localSheetId="10">DropDown!$E$6:$E$20</definedName>
    <definedName name="MILE_target_type">DropDown!$E$6:$E$20</definedName>
    <definedName name="MILE_target_type_general" localSheetId="4">DropDown!$E$23:$E$33</definedName>
    <definedName name="MILE_target_type_general" localSheetId="1">DropDown!$E$23:$E$33</definedName>
    <definedName name="MILE_target_type_general" localSheetId="2">DropDown!$E$23:$E$33</definedName>
    <definedName name="MILE_target_type_general" localSheetId="3">DropDown!$E$23:$E$33</definedName>
    <definedName name="MILE_target_type_general" localSheetId="10">DropDown!$E$23:$E$33</definedName>
    <definedName name="MILE_target_type_general">DropDown!$E$23:$E$33</definedName>
    <definedName name="MILE_val_choice" localSheetId="4">DropDown!$G$17:$G$18</definedName>
    <definedName name="MILE_val_choice" localSheetId="1">DropDown!$G$17:$G$18</definedName>
    <definedName name="MILE_val_choice" localSheetId="2">DropDown!$G$17:$G$18</definedName>
    <definedName name="MILE_val_choice" localSheetId="3">DropDown!$G$17:$G$18</definedName>
    <definedName name="MILE_val_choice" localSheetId="10">DropDown!$G$17:$G$18</definedName>
    <definedName name="MILE_val_choice">DropDown!$G$17:$G$18</definedName>
    <definedName name="New_Cont" localSheetId="10">DropDown!$C$27:$C$30</definedName>
    <definedName name="New_Cont">DropDown!$C$27:$C$30</definedName>
    <definedName name="Phase">DropDown!$I$19:$I$26</definedName>
    <definedName name="PrefillActivity">'Activity Investment'!#REF!</definedName>
    <definedName name="PTF_course_type" localSheetId="4">DropDown!$C$17:$C$24</definedName>
    <definedName name="PTF_course_type" localSheetId="1">DropDown!$C$17:$C$24</definedName>
    <definedName name="PTF_course_type" localSheetId="2">DropDown!$C$17:$C$24</definedName>
    <definedName name="PTF_course_type" localSheetId="3">DropDown!$C$17:$C$24</definedName>
    <definedName name="PTF_course_type" localSheetId="10">DropDown!$C$17:$C$24</definedName>
    <definedName name="PTF_course_type">DropDown!$C$17:$C$24</definedName>
    <definedName name="Sponsor_rel">DropDown!$I$13:$I$16</definedName>
    <definedName name="Sponsor_type">DropDown!$I$6:$I$10</definedName>
    <definedName name="T_AEXP_COL">'Activity Investment'!$C$12:$F$12</definedName>
    <definedName name="T_AEXP_COMM_COL">'Activity Investment'!$A$28</definedName>
    <definedName name="T_AEXP_COMM_ROW">'Activity Investment'!$G$30</definedName>
    <definedName name="T_AEXP_COMM_ROWV">'Activity Investment'!$G$28</definedName>
    <definedName name="T_AEXP_PG">'Activity Investment'!$G$26:$H$26</definedName>
    <definedName name="T_AEXP_ROW">'Activity Investment'!$G$15:$H$22</definedName>
    <definedName name="T_AEXP_ROWV">'Activity Investment'!$G$12:$H$12</definedName>
    <definedName name="T_ASSUR_COL">Assurance!$C$11</definedName>
    <definedName name="T_ASSUR_ROW">Assurance!$H$13:$H$16</definedName>
    <definedName name="T_ASSUR_ROWV">Assurance!$H$11</definedName>
    <definedName name="T_ATTRA_COL">'Sponsorship arrangements'!$A$12:$G$12</definedName>
    <definedName name="T_ATTRA_COMM_COL">'Sponsorship arrangements'!$A$80</definedName>
    <definedName name="T_ATTRA_COMM_ROW">'Sponsorship arrangements'!$I$82</definedName>
    <definedName name="T_ATTRA_COMM_ROWV">'Sponsorship arrangements'!$I$80</definedName>
    <definedName name="T_ATTRA_ROW">'Sponsorship arrangements'!$I$15:$J$44</definedName>
    <definedName name="T_ATTRA_ROWV">'Sponsorship arrangements'!$I$12:$J$12</definedName>
    <definedName name="T_ATTRA2_COL">'Sponsorship arrangements'!$A$46:$H$46</definedName>
    <definedName name="T_ATTRA2_ROW">'Sponsorship arrangements'!$I$49:$J$78</definedName>
    <definedName name="T_ATTRA2_ROWV">'Sponsorship arrangements'!$I$46:$J$46</definedName>
    <definedName name="T_CON_COL">Contact!$C$14:$D$14</definedName>
    <definedName name="T_CON_ROW">Contact!$F$16:$F$19</definedName>
    <definedName name="T_CON_ROWV">Contact!$F$14</definedName>
    <definedName name="T_CON2_COL">Contact!$E$21</definedName>
    <definedName name="T_CON2_ROW">Contact!$F$23:$F$24</definedName>
    <definedName name="T_CON2_ROWV">Contact!$F$21</definedName>
    <definedName name="T_FEESUM_COL">'Fee Summary'!$B$10:$D$10</definedName>
    <definedName name="T_FEESUM_INFLATION_COL">'Fee Summary'!$B$5</definedName>
    <definedName name="T_FEESUM_INFLATION_ROW">'Fee Summary'!$G$13</definedName>
    <definedName name="T_FEESUM_INFLATION_ROWV">'Fee Summary'!$G$5</definedName>
    <definedName name="T_FEESUM_ROW">'Fee Summary'!$E$14:$F$163</definedName>
    <definedName name="T_FEESUM_ROWV">'Fee Summary'!$E$10:$F$10</definedName>
    <definedName name="T_FINS_COL">'Financial Support'!$E$11:$H$11</definedName>
    <definedName name="T_FINS_COMM_COL">'Financial Support'!$A$35</definedName>
    <definedName name="T_FINS_COMM_ROW">'Financial Support'!$I$37</definedName>
    <definedName name="T_FINS_COMM_ROWV">'Financial Support'!$I$35</definedName>
    <definedName name="T_FINS_PG">'Financial Support'!$I$33:$J$33</definedName>
    <definedName name="T_FINS_ROW">'Financial Support'!$I$14:$J$28</definedName>
    <definedName name="T_FINS_ROWV">'Financial Support'!$I$11:$J$11</definedName>
    <definedName name="T_FTF_COL">'FT Fee'!$B$18:$K$18</definedName>
    <definedName name="T_FTF_COL_TEF">'FT Fee'!$D$5</definedName>
    <definedName name="T_FTF_ROW">'FT Fee'!$L$22:$M$171</definedName>
    <definedName name="T_FTF_ROW_TEF">'FT Fee'!$L$6</definedName>
    <definedName name="T_FTF_ROWV">'FT Fee'!$L$18:$M$18</definedName>
    <definedName name="T_FTF_ROWV_TEF">'FT Fee'!$L$5</definedName>
    <definedName name="T_FTFFR_COL">'FT Fee (Franchise)'!$B$14:$L$14</definedName>
    <definedName name="T_FTFFR_ROW">'FT Fee (Franchise)'!$M$19:$N$168</definedName>
    <definedName name="T_FTFFR_ROWV">'FT Fee (Franchise)'!$M$14:$N$14</definedName>
    <definedName name="T_MILE_COL">'Targets &amp; Milestones'!$A$12:$N$12</definedName>
    <definedName name="T_MILE_COMM_COL">'Targets &amp; Milestones'!$A$190</definedName>
    <definedName name="T_MILE_COMM_ROW">'Targets &amp; Milestones'!$O$192</definedName>
    <definedName name="T_MILE_COMM_ROWV">'Targets &amp; Milestones'!$O$190</definedName>
    <definedName name="T_MILE_ROW1">'Targets &amp; Milestones'!$O$16:$P$55</definedName>
    <definedName name="T_MILE_ROW2">'Targets &amp; Milestones'!$O$106:$P$145</definedName>
    <definedName name="T_MILE_ROWV">'Targets &amp; Milestones'!$O$12:$P$12</definedName>
    <definedName name="T_PTF_COL">'PT Fee'!$B$14:$G$14</definedName>
    <definedName name="T_PTF_ROW">'PT Fee'!$H$18:$I$167</definedName>
    <definedName name="T_PTF_ROWV">'PT Fee'!$H$14:$I$14</definedName>
    <definedName name="T_STUHFI_COL">'Students &amp; Income'!$D$12:$G$12</definedName>
    <definedName name="T_STUHFI_COMM_COL">'Students &amp; Income'!$A$28</definedName>
    <definedName name="T_STUHFI_COMM_ROW">'Students &amp; Income'!$H$30</definedName>
    <definedName name="T_STUHFI_COMM_ROWV">'Students &amp; Income'!$H$28</definedName>
    <definedName name="T_STUHFI_ROW1">'Students &amp; Income'!$H$15:$I$20</definedName>
    <definedName name="T_STUHFI_ROW2">'Students &amp; Income'!$H$24:$I$26</definedName>
    <definedName name="T_STUHFI_ROWV">'Students &amp; Income'!$H$12:$I$12</definedName>
    <definedName name="T_SUMM_COMM_COL">'Investment Summary'!$A$30</definedName>
    <definedName name="T_SUMM_COMM_ROW">'Investment Summary'!$F$32</definedName>
    <definedName name="T_SUMM_COMM_ROWV">'Investment Summary'!$F$30</definedName>
    <definedName name="T_VAL_COL">Validation!$G$4</definedName>
    <definedName name="T_VAL_ROW">Validation!$H$5:$I$28</definedName>
    <definedName name="T_VAL_ROWV">Validation!$H$4:$I$4</definedName>
    <definedName name="target" localSheetId="4">DropDown!$G$27:$G$75</definedName>
    <definedName name="target" localSheetId="1">DropDown!$G$27:$G$75</definedName>
    <definedName name="target" localSheetId="2">DropDown!$G$27:$G$75</definedName>
    <definedName name="target" localSheetId="3">DropDown!$G$27:$G$75</definedName>
    <definedName name="target" localSheetId="10">DropDown!$G$27:$G$75</definedName>
    <definedName name="target">DropDown!$G$27:$G$75</definedName>
    <definedName name="TEF_status1819">#REF!</definedName>
    <definedName name="TEF2_status" localSheetId="10">DropDown!$C$33:$C$34</definedName>
    <definedName name="TEF2_status">DropDown!$C$33:$C$34</definedName>
  </definedNames>
  <calcPr calcId="191029" forceFullCal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Q19" i="33" l="1"/>
  <c r="Q20" i="33"/>
  <c r="Q21" i="33"/>
  <c r="Q22" i="33"/>
  <c r="Q23" i="33"/>
  <c r="Q24" i="33"/>
  <c r="Q25" i="33"/>
  <c r="Q26" i="33"/>
  <c r="Q27" i="33"/>
  <c r="Q28" i="33"/>
  <c r="Q29" i="33"/>
  <c r="Q30" i="33"/>
  <c r="Q31" i="33"/>
  <c r="Q32" i="33"/>
  <c r="Q33" i="33"/>
  <c r="Q34" i="33"/>
  <c r="Q35" i="33"/>
  <c r="Q36" i="33"/>
  <c r="Q37" i="33"/>
  <c r="Q38" i="33"/>
  <c r="Q39" i="33"/>
  <c r="Q40" i="33"/>
  <c r="Q41" i="33"/>
  <c r="Q42" i="33"/>
  <c r="Q43" i="33"/>
  <c r="Q44" i="33"/>
  <c r="Q45" i="33"/>
  <c r="Q46" i="33"/>
  <c r="Q47" i="33"/>
  <c r="Q48" i="33"/>
  <c r="Q49" i="33"/>
  <c r="Q50" i="33"/>
  <c r="Q51" i="33"/>
  <c r="Q52" i="33"/>
  <c r="Q53" i="33"/>
  <c r="Q54" i="33"/>
  <c r="Q55" i="33"/>
  <c r="Q56" i="33"/>
  <c r="Q57" i="33"/>
  <c r="Q58" i="33"/>
  <c r="Q59" i="33"/>
  <c r="Q60" i="33"/>
  <c r="Q61" i="33"/>
  <c r="Q62" i="33"/>
  <c r="Q63" i="33"/>
  <c r="Q64" i="33"/>
  <c r="Q65" i="33"/>
  <c r="Q66" i="33"/>
  <c r="Q67" i="33"/>
  <c r="Q68" i="33"/>
  <c r="Q69" i="33"/>
  <c r="Q70" i="33"/>
  <c r="Q71" i="33"/>
  <c r="Q72" i="33"/>
  <c r="Q73" i="33"/>
  <c r="Q74" i="33"/>
  <c r="Q75" i="33"/>
  <c r="Q76" i="33"/>
  <c r="Q77" i="33"/>
  <c r="Q78" i="33"/>
  <c r="Q79" i="33"/>
  <c r="Q80" i="33"/>
  <c r="Q81" i="33"/>
  <c r="Q82" i="33"/>
  <c r="Q83" i="33"/>
  <c r="Q84" i="33"/>
  <c r="Q85" i="33"/>
  <c r="Q86" i="33"/>
  <c r="Q87" i="33"/>
  <c r="Q88" i="33"/>
  <c r="Q89" i="33"/>
  <c r="Q90" i="33"/>
  <c r="Q91" i="33"/>
  <c r="Q92" i="33"/>
  <c r="Q93" i="33"/>
  <c r="Q94" i="33"/>
  <c r="Q95" i="33"/>
  <c r="Q96" i="33"/>
  <c r="Q97" i="33"/>
  <c r="Q98" i="33"/>
  <c r="Q99" i="33"/>
  <c r="Q100" i="33"/>
  <c r="Q101" i="33"/>
  <c r="Q102" i="33"/>
  <c r="Q103" i="33"/>
  <c r="Q104" i="33"/>
  <c r="Q105" i="33"/>
  <c r="Q106" i="33"/>
  <c r="Q107" i="33"/>
  <c r="Q108" i="33"/>
  <c r="Q109" i="33"/>
  <c r="Q110" i="33"/>
  <c r="Q111" i="33"/>
  <c r="Q112" i="33"/>
  <c r="Q113" i="33"/>
  <c r="Q114" i="33"/>
  <c r="Q115" i="33"/>
  <c r="Q116" i="33"/>
  <c r="Q117" i="33"/>
  <c r="Q118" i="33"/>
  <c r="Q119" i="33"/>
  <c r="Q120" i="33"/>
  <c r="Q121" i="33"/>
  <c r="Q122" i="33"/>
  <c r="Q123" i="33"/>
  <c r="Q124" i="33"/>
  <c r="Q125" i="33"/>
  <c r="Q126" i="33"/>
  <c r="Q127" i="33"/>
  <c r="Q128" i="33"/>
  <c r="Q129" i="33"/>
  <c r="Q130" i="33"/>
  <c r="Q131" i="33"/>
  <c r="Q132" i="33"/>
  <c r="Q133" i="33"/>
  <c r="Q134" i="33"/>
  <c r="Q135" i="33"/>
  <c r="Q136" i="33"/>
  <c r="Q137" i="33"/>
  <c r="Q138" i="33"/>
  <c r="Q139" i="33"/>
  <c r="Q140" i="33"/>
  <c r="Q141" i="33"/>
  <c r="Q142" i="33"/>
  <c r="Q143" i="33"/>
  <c r="Q144" i="33"/>
  <c r="Q145" i="33"/>
  <c r="Q146" i="33"/>
  <c r="Q147" i="33"/>
  <c r="Q148" i="33"/>
  <c r="Q149" i="33"/>
  <c r="Q150" i="33"/>
  <c r="Q151" i="33"/>
  <c r="Q152" i="33"/>
  <c r="Q153" i="33"/>
  <c r="Q154" i="33"/>
  <c r="Q155" i="33"/>
  <c r="Q156" i="33"/>
  <c r="Q157" i="33"/>
  <c r="Q158" i="33"/>
  <c r="Q159" i="33"/>
  <c r="Q160" i="33"/>
  <c r="Q161" i="33"/>
  <c r="Q162" i="33"/>
  <c r="Q163" i="33"/>
  <c r="Q164" i="33"/>
  <c r="Q165" i="33"/>
  <c r="Q166" i="33"/>
  <c r="Q167" i="33"/>
  <c r="Q168" i="33"/>
  <c r="P23" i="32"/>
  <c r="P24" i="32"/>
  <c r="P25" i="32"/>
  <c r="P26" i="32"/>
  <c r="P27" i="32"/>
  <c r="P28" i="32"/>
  <c r="P29" i="32"/>
  <c r="P30" i="32"/>
  <c r="P31" i="32"/>
  <c r="P32" i="32"/>
  <c r="P33" i="32"/>
  <c r="P34" i="32"/>
  <c r="P35" i="32"/>
  <c r="P36" i="32"/>
  <c r="P37" i="32"/>
  <c r="P38" i="32"/>
  <c r="P39" i="32"/>
  <c r="P40" i="32"/>
  <c r="P41" i="32"/>
  <c r="P42" i="32"/>
  <c r="P43" i="32"/>
  <c r="P44" i="32"/>
  <c r="P45" i="32"/>
  <c r="P46" i="32"/>
  <c r="P47" i="32"/>
  <c r="P48" i="32"/>
  <c r="P49" i="32"/>
  <c r="P50" i="32"/>
  <c r="P51" i="32"/>
  <c r="P52" i="32"/>
  <c r="P53" i="32"/>
  <c r="P54" i="32"/>
  <c r="P55" i="32"/>
  <c r="P56" i="32"/>
  <c r="P57" i="32"/>
  <c r="P58" i="32"/>
  <c r="P59" i="32"/>
  <c r="P60" i="32"/>
  <c r="P61" i="32"/>
  <c r="P62" i="32"/>
  <c r="P63" i="32"/>
  <c r="P64" i="32"/>
  <c r="P65" i="32"/>
  <c r="P66" i="32"/>
  <c r="P67" i="32"/>
  <c r="P68" i="32"/>
  <c r="P69" i="32"/>
  <c r="P70" i="32"/>
  <c r="P71" i="32"/>
  <c r="P72" i="32"/>
  <c r="P73" i="32"/>
  <c r="P74" i="32"/>
  <c r="P75" i="32"/>
  <c r="P76" i="32"/>
  <c r="P77" i="32"/>
  <c r="P78" i="32"/>
  <c r="P79" i="32"/>
  <c r="P80" i="32"/>
  <c r="P81" i="32"/>
  <c r="P82" i="32"/>
  <c r="P83" i="32"/>
  <c r="P84" i="32"/>
  <c r="P85" i="32"/>
  <c r="P86" i="32"/>
  <c r="P87" i="32"/>
  <c r="P88" i="32"/>
  <c r="P89" i="32"/>
  <c r="P90" i="32"/>
  <c r="P91" i="32"/>
  <c r="P92" i="32"/>
  <c r="P93" i="32"/>
  <c r="P94" i="32"/>
  <c r="P95" i="32"/>
  <c r="P96" i="32"/>
  <c r="P97" i="32"/>
  <c r="P98" i="32"/>
  <c r="P99" i="32"/>
  <c r="P100" i="32"/>
  <c r="P101" i="32"/>
  <c r="P102" i="32"/>
  <c r="P103" i="32"/>
  <c r="P104" i="32"/>
  <c r="P105" i="32"/>
  <c r="P106" i="32"/>
  <c r="P107" i="32"/>
  <c r="P108" i="32"/>
  <c r="P109" i="32"/>
  <c r="P110" i="32"/>
  <c r="P111" i="32"/>
  <c r="P112" i="32"/>
  <c r="P113" i="32"/>
  <c r="P114" i="32"/>
  <c r="P115" i="32"/>
  <c r="P116" i="32"/>
  <c r="P117" i="32"/>
  <c r="P118" i="32"/>
  <c r="P119" i="32"/>
  <c r="P120" i="32"/>
  <c r="P121" i="32"/>
  <c r="P122" i="32"/>
  <c r="P123" i="32"/>
  <c r="P124" i="32"/>
  <c r="P125" i="32"/>
  <c r="P126" i="32"/>
  <c r="P127" i="32"/>
  <c r="P128" i="32"/>
  <c r="P129" i="32"/>
  <c r="P130" i="32"/>
  <c r="P131" i="32"/>
  <c r="P132" i="32"/>
  <c r="P133" i="32"/>
  <c r="P134" i="32"/>
  <c r="P135" i="32"/>
  <c r="P136" i="32"/>
  <c r="P137" i="32"/>
  <c r="P138" i="32"/>
  <c r="P139" i="32"/>
  <c r="P140" i="32"/>
  <c r="P141" i="32"/>
  <c r="P142" i="32"/>
  <c r="P143" i="32"/>
  <c r="P144" i="32"/>
  <c r="P145" i="32"/>
  <c r="P146" i="32"/>
  <c r="P147" i="32"/>
  <c r="P148" i="32"/>
  <c r="P149" i="32"/>
  <c r="P150" i="32"/>
  <c r="P151" i="32"/>
  <c r="P152" i="32"/>
  <c r="P153" i="32"/>
  <c r="P154" i="32"/>
  <c r="P155" i="32"/>
  <c r="P156" i="32"/>
  <c r="P157" i="32"/>
  <c r="P158" i="32"/>
  <c r="P159" i="32"/>
  <c r="P160" i="32"/>
  <c r="P161" i="32"/>
  <c r="P162" i="32"/>
  <c r="P163" i="32"/>
  <c r="P164" i="32"/>
  <c r="P165" i="32"/>
  <c r="P166" i="32"/>
  <c r="P167" i="32"/>
  <c r="P168" i="32"/>
  <c r="P169" i="32"/>
  <c r="P170" i="32"/>
  <c r="P171" i="32"/>
  <c r="P22" i="32"/>
  <c r="W4" i="22" l="1"/>
  <c r="O326" i="35" l="1"/>
  <c r="O327" i="35"/>
  <c r="O328" i="35"/>
  <c r="O329" i="35"/>
  <c r="O330" i="35"/>
  <c r="O331" i="35"/>
  <c r="O332" i="35"/>
  <c r="O333" i="35"/>
  <c r="O334" i="35"/>
  <c r="O335" i="35"/>
  <c r="O336" i="35"/>
  <c r="O337" i="35"/>
  <c r="O338" i="35"/>
  <c r="O339" i="35"/>
  <c r="O340" i="35"/>
  <c r="O341" i="35"/>
  <c r="O342" i="35"/>
  <c r="O343" i="35"/>
  <c r="O344" i="35"/>
  <c r="O345" i="35"/>
  <c r="O346" i="35"/>
  <c r="O347" i="35"/>
  <c r="O348" i="35"/>
  <c r="O349" i="35"/>
  <c r="O350" i="35"/>
  <c r="O351" i="35"/>
  <c r="O352" i="35"/>
  <c r="O353" i="35"/>
  <c r="O354" i="35"/>
  <c r="O355" i="35"/>
  <c r="O356" i="35"/>
  <c r="O357" i="35"/>
  <c r="O358" i="35"/>
  <c r="O359" i="35"/>
  <c r="O360" i="35"/>
  <c r="O361" i="35"/>
  <c r="O362" i="35"/>
  <c r="O363" i="35"/>
  <c r="O364" i="35"/>
  <c r="O365" i="35"/>
  <c r="O366" i="35"/>
  <c r="O367" i="35"/>
  <c r="O368" i="35"/>
  <c r="O369" i="35"/>
  <c r="O370" i="35"/>
  <c r="O371" i="35"/>
  <c r="O372" i="35"/>
  <c r="O373" i="35"/>
  <c r="O374" i="35"/>
  <c r="O375" i="35"/>
  <c r="O376" i="35"/>
  <c r="O377" i="35"/>
  <c r="O378" i="35"/>
  <c r="O379" i="35"/>
  <c r="O380" i="35"/>
  <c r="O381" i="35"/>
  <c r="O382" i="35"/>
  <c r="O383" i="35"/>
  <c r="O384" i="35"/>
  <c r="O385" i="35"/>
  <c r="O386" i="35"/>
  <c r="O387" i="35"/>
  <c r="O388" i="35"/>
  <c r="O389" i="35"/>
  <c r="O390" i="35"/>
  <c r="O391" i="35"/>
  <c r="O392" i="35"/>
  <c r="O393" i="35"/>
  <c r="O394" i="35"/>
  <c r="O395" i="35"/>
  <c r="O396" i="35"/>
  <c r="O397" i="35"/>
  <c r="O398" i="35"/>
  <c r="O399" i="35"/>
  <c r="O400" i="35"/>
  <c r="O401" i="35"/>
  <c r="O402" i="35"/>
  <c r="O403" i="35"/>
  <c r="O404" i="35"/>
  <c r="O405" i="35"/>
  <c r="O406" i="35"/>
  <c r="O407" i="35"/>
  <c r="O408" i="35"/>
  <c r="O409" i="35"/>
  <c r="O410" i="35"/>
  <c r="O411" i="35"/>
  <c r="O412" i="35"/>
  <c r="O413" i="35"/>
  <c r="O414" i="35"/>
  <c r="O415" i="35"/>
  <c r="O416" i="35"/>
  <c r="O417" i="35"/>
  <c r="O418" i="35"/>
  <c r="O419" i="35"/>
  <c r="O420" i="35"/>
  <c r="O421" i="35"/>
  <c r="O422" i="35"/>
  <c r="O423" i="35"/>
  <c r="O424" i="35"/>
  <c r="O425" i="35"/>
  <c r="O426" i="35"/>
  <c r="O427" i="35"/>
  <c r="O428" i="35"/>
  <c r="O429" i="35"/>
  <c r="O430" i="35"/>
  <c r="O431" i="35"/>
  <c r="O432" i="35"/>
  <c r="O433" i="35"/>
  <c r="O434" i="35"/>
  <c r="O435" i="35"/>
  <c r="O436" i="35"/>
  <c r="O437" i="35"/>
  <c r="O438" i="35"/>
  <c r="O439" i="35"/>
  <c r="O440" i="35"/>
  <c r="O441" i="35"/>
  <c r="O442" i="35"/>
  <c r="O443" i="35"/>
  <c r="O444" i="35"/>
  <c r="O445" i="35"/>
  <c r="O446" i="35"/>
  <c r="O447" i="35"/>
  <c r="O448" i="35"/>
  <c r="O449" i="35"/>
  <c r="O450" i="35"/>
  <c r="O451" i="35"/>
  <c r="O452" i="35"/>
  <c r="O453" i="35"/>
  <c r="O454" i="35"/>
  <c r="O455" i="35"/>
  <c r="O456" i="35"/>
  <c r="O457" i="35"/>
  <c r="O458" i="35"/>
  <c r="O459" i="35"/>
  <c r="O460" i="35"/>
  <c r="O461" i="35"/>
  <c r="O462" i="35"/>
  <c r="O463" i="35"/>
  <c r="O464" i="35"/>
  <c r="O465" i="35"/>
  <c r="O466" i="35"/>
  <c r="O467" i="35"/>
  <c r="O468" i="35"/>
  <c r="O469" i="35"/>
  <c r="O470" i="35"/>
  <c r="O471" i="35"/>
  <c r="O472" i="35"/>
  <c r="O473" i="35"/>
  <c r="O474" i="35"/>
  <c r="O325" i="35"/>
  <c r="M326" i="35"/>
  <c r="M327" i="35"/>
  <c r="M328" i="35"/>
  <c r="M329" i="35"/>
  <c r="M330" i="35"/>
  <c r="M331" i="35"/>
  <c r="M332" i="35"/>
  <c r="M333" i="35"/>
  <c r="M334" i="35"/>
  <c r="M335" i="35"/>
  <c r="M336" i="35"/>
  <c r="M337" i="35"/>
  <c r="M338" i="35"/>
  <c r="M339" i="35"/>
  <c r="M340" i="35"/>
  <c r="M341" i="35"/>
  <c r="M342" i="35"/>
  <c r="M343" i="35"/>
  <c r="M344" i="35"/>
  <c r="M345" i="35"/>
  <c r="M346" i="35"/>
  <c r="M347" i="35"/>
  <c r="M348" i="35"/>
  <c r="M349" i="35"/>
  <c r="M350" i="35"/>
  <c r="M351" i="35"/>
  <c r="M352" i="35"/>
  <c r="M353" i="35"/>
  <c r="M354" i="35"/>
  <c r="M355" i="35"/>
  <c r="M356" i="35"/>
  <c r="M357" i="35"/>
  <c r="M358" i="35"/>
  <c r="M359" i="35"/>
  <c r="M360" i="35"/>
  <c r="M361" i="35"/>
  <c r="M362" i="35"/>
  <c r="M363" i="35"/>
  <c r="M364" i="35"/>
  <c r="M365" i="35"/>
  <c r="M366" i="35"/>
  <c r="M367" i="35"/>
  <c r="M368" i="35"/>
  <c r="M369" i="35"/>
  <c r="M370" i="35"/>
  <c r="M371" i="35"/>
  <c r="M372" i="35"/>
  <c r="M373" i="35"/>
  <c r="M374" i="35"/>
  <c r="M375" i="35"/>
  <c r="M376" i="35"/>
  <c r="M377" i="35"/>
  <c r="M378" i="35"/>
  <c r="M379" i="35"/>
  <c r="M380" i="35"/>
  <c r="M381" i="35"/>
  <c r="M382" i="35"/>
  <c r="M383" i="35"/>
  <c r="M384" i="35"/>
  <c r="M385" i="35"/>
  <c r="M386" i="35"/>
  <c r="M387" i="35"/>
  <c r="M388" i="35"/>
  <c r="M389" i="35"/>
  <c r="M390" i="35"/>
  <c r="M391" i="35"/>
  <c r="M392" i="35"/>
  <c r="M393" i="35"/>
  <c r="M394" i="35"/>
  <c r="M395" i="35"/>
  <c r="M396" i="35"/>
  <c r="M397" i="35"/>
  <c r="M398" i="35"/>
  <c r="M399" i="35"/>
  <c r="M400" i="35"/>
  <c r="M401" i="35"/>
  <c r="M402" i="35"/>
  <c r="M403" i="35"/>
  <c r="M404" i="35"/>
  <c r="M405" i="35"/>
  <c r="M406" i="35"/>
  <c r="M407" i="35"/>
  <c r="M408" i="35"/>
  <c r="M409" i="35"/>
  <c r="M410" i="35"/>
  <c r="M411" i="35"/>
  <c r="M412" i="35"/>
  <c r="M413" i="35"/>
  <c r="M414" i="35"/>
  <c r="M415" i="35"/>
  <c r="M416" i="35"/>
  <c r="M417" i="35"/>
  <c r="M418" i="35"/>
  <c r="M419" i="35"/>
  <c r="M420" i="35"/>
  <c r="M421" i="35"/>
  <c r="M422" i="35"/>
  <c r="M423" i="35"/>
  <c r="M424" i="35"/>
  <c r="M425" i="35"/>
  <c r="M426" i="35"/>
  <c r="M427" i="35"/>
  <c r="M428" i="35"/>
  <c r="M429" i="35"/>
  <c r="M430" i="35"/>
  <c r="M431" i="35"/>
  <c r="M432" i="35"/>
  <c r="M433" i="35"/>
  <c r="M434" i="35"/>
  <c r="M435" i="35"/>
  <c r="M436" i="35"/>
  <c r="M437" i="35"/>
  <c r="M438" i="35"/>
  <c r="M439" i="35"/>
  <c r="M440" i="35"/>
  <c r="M441" i="35"/>
  <c r="M442" i="35"/>
  <c r="M443" i="35"/>
  <c r="M444" i="35"/>
  <c r="M445" i="35"/>
  <c r="M446" i="35"/>
  <c r="M447" i="35"/>
  <c r="M448" i="35"/>
  <c r="M449" i="35"/>
  <c r="M450" i="35"/>
  <c r="M451" i="35"/>
  <c r="M452" i="35"/>
  <c r="M453" i="35"/>
  <c r="M454" i="35"/>
  <c r="M455" i="35"/>
  <c r="M456" i="35"/>
  <c r="M457" i="35"/>
  <c r="M458" i="35"/>
  <c r="M459" i="35"/>
  <c r="M460" i="35"/>
  <c r="M461" i="35"/>
  <c r="M462" i="35"/>
  <c r="M463" i="35"/>
  <c r="M464" i="35"/>
  <c r="M465" i="35"/>
  <c r="M466" i="35"/>
  <c r="M467" i="35"/>
  <c r="M468" i="35"/>
  <c r="M469" i="35"/>
  <c r="M470" i="35"/>
  <c r="M471" i="35"/>
  <c r="M472" i="35"/>
  <c r="M473" i="35"/>
  <c r="M474" i="35"/>
  <c r="M325" i="35"/>
  <c r="M185" i="35"/>
  <c r="M186" i="35"/>
  <c r="M187" i="35"/>
  <c r="M188" i="35"/>
  <c r="M189" i="35"/>
  <c r="M190" i="35"/>
  <c r="M191" i="35"/>
  <c r="M192" i="35"/>
  <c r="M193" i="35"/>
  <c r="M194" i="35"/>
  <c r="M195" i="35"/>
  <c r="M196" i="35"/>
  <c r="M197" i="35"/>
  <c r="M198" i="35"/>
  <c r="M199" i="35"/>
  <c r="M200" i="35"/>
  <c r="M201" i="35"/>
  <c r="M202" i="35"/>
  <c r="M203" i="35"/>
  <c r="M204" i="35"/>
  <c r="M205" i="35"/>
  <c r="M206" i="35"/>
  <c r="M207" i="35"/>
  <c r="M208" i="35"/>
  <c r="M209" i="35"/>
  <c r="M210" i="35"/>
  <c r="M211" i="35"/>
  <c r="M212" i="35"/>
  <c r="M213" i="35"/>
  <c r="M214" i="35"/>
  <c r="M215" i="35"/>
  <c r="M216" i="35"/>
  <c r="M217" i="35"/>
  <c r="M218" i="35"/>
  <c r="M219" i="35"/>
  <c r="M220" i="35"/>
  <c r="M221" i="35"/>
  <c r="M222" i="35"/>
  <c r="M223" i="35"/>
  <c r="M224" i="35"/>
  <c r="M225" i="35"/>
  <c r="M226" i="35"/>
  <c r="M227" i="35"/>
  <c r="M228" i="35"/>
  <c r="M229" i="35"/>
  <c r="M230" i="35"/>
  <c r="M231" i="35"/>
  <c r="M232" i="35"/>
  <c r="M233" i="35"/>
  <c r="M234" i="35"/>
  <c r="M235" i="35"/>
  <c r="M236" i="35"/>
  <c r="M237" i="35"/>
  <c r="M238" i="35"/>
  <c r="M239" i="35"/>
  <c r="M240" i="35"/>
  <c r="M241" i="35"/>
  <c r="M242" i="35"/>
  <c r="M243" i="35"/>
  <c r="M244" i="35"/>
  <c r="M245" i="35"/>
  <c r="M246" i="35"/>
  <c r="M247" i="35"/>
  <c r="M248" i="35"/>
  <c r="M249" i="35"/>
  <c r="M250" i="35"/>
  <c r="M251" i="35"/>
  <c r="M252" i="35"/>
  <c r="M253" i="35"/>
  <c r="M254" i="35"/>
  <c r="M255" i="35"/>
  <c r="M256" i="35"/>
  <c r="M257" i="35"/>
  <c r="M258" i="35"/>
  <c r="M259" i="35"/>
  <c r="M260" i="35"/>
  <c r="M261" i="35"/>
  <c r="M262" i="35"/>
  <c r="M263" i="35"/>
  <c r="M264" i="35"/>
  <c r="M265" i="35"/>
  <c r="M266" i="35"/>
  <c r="M267" i="35"/>
  <c r="M268" i="35"/>
  <c r="M269" i="35"/>
  <c r="M270" i="35"/>
  <c r="M271" i="35"/>
  <c r="M272" i="35"/>
  <c r="M273" i="35"/>
  <c r="M274" i="35"/>
  <c r="M275" i="35"/>
  <c r="M276" i="35"/>
  <c r="M277" i="35"/>
  <c r="M278" i="35"/>
  <c r="M279" i="35"/>
  <c r="M280" i="35"/>
  <c r="M281" i="35"/>
  <c r="M282" i="35"/>
  <c r="M283" i="35"/>
  <c r="M284" i="35"/>
  <c r="M285" i="35"/>
  <c r="M286" i="35"/>
  <c r="M287" i="35"/>
  <c r="M288" i="35"/>
  <c r="M289" i="35"/>
  <c r="M290" i="35"/>
  <c r="M291" i="35"/>
  <c r="M292" i="35"/>
  <c r="M293" i="35"/>
  <c r="M294" i="35"/>
  <c r="M295" i="35"/>
  <c r="M296" i="35"/>
  <c r="M297" i="35"/>
  <c r="M298" i="35"/>
  <c r="M299" i="35"/>
  <c r="M300" i="35"/>
  <c r="M301" i="35"/>
  <c r="M302" i="35"/>
  <c r="M303" i="35"/>
  <c r="M304" i="35"/>
  <c r="M305" i="35"/>
  <c r="M306" i="35"/>
  <c r="M307" i="35"/>
  <c r="M308" i="35"/>
  <c r="M309" i="35"/>
  <c r="M310" i="35"/>
  <c r="M311" i="35"/>
  <c r="M312" i="35"/>
  <c r="M313" i="35"/>
  <c r="M314" i="35"/>
  <c r="M315" i="35"/>
  <c r="M316" i="35"/>
  <c r="M317" i="35"/>
  <c r="M318" i="35"/>
  <c r="M319" i="35"/>
  <c r="M320" i="35"/>
  <c r="M184" i="35"/>
  <c r="O185" i="35"/>
  <c r="O186" i="35"/>
  <c r="O187" i="35"/>
  <c r="O188" i="35"/>
  <c r="O189" i="35"/>
  <c r="O190" i="35"/>
  <c r="O191" i="35"/>
  <c r="O192" i="35"/>
  <c r="O193" i="35"/>
  <c r="O194" i="35"/>
  <c r="O195" i="35"/>
  <c r="O196" i="35"/>
  <c r="O197" i="35"/>
  <c r="O198" i="35"/>
  <c r="O199" i="35"/>
  <c r="O200" i="35"/>
  <c r="O201" i="35"/>
  <c r="O202" i="35"/>
  <c r="O203" i="35"/>
  <c r="O204" i="35"/>
  <c r="O205" i="35"/>
  <c r="O206" i="35"/>
  <c r="O207" i="35"/>
  <c r="O208" i="35"/>
  <c r="O209" i="35"/>
  <c r="O210" i="35"/>
  <c r="O211" i="35"/>
  <c r="O212" i="35"/>
  <c r="O213" i="35"/>
  <c r="O214" i="35"/>
  <c r="O215" i="35"/>
  <c r="O216" i="35"/>
  <c r="O217" i="35"/>
  <c r="O218" i="35"/>
  <c r="O219" i="35"/>
  <c r="O220" i="35"/>
  <c r="O221" i="35"/>
  <c r="O222" i="35"/>
  <c r="O223" i="35"/>
  <c r="O224" i="35"/>
  <c r="O225" i="35"/>
  <c r="O226" i="35"/>
  <c r="O227" i="35"/>
  <c r="O228" i="35"/>
  <c r="O229" i="35"/>
  <c r="O230" i="35"/>
  <c r="O231" i="35"/>
  <c r="O232" i="35"/>
  <c r="O233" i="35"/>
  <c r="O234" i="35"/>
  <c r="O235" i="35"/>
  <c r="O236" i="35"/>
  <c r="O237" i="35"/>
  <c r="O238" i="35"/>
  <c r="O239" i="35"/>
  <c r="O240" i="35"/>
  <c r="O241" i="35"/>
  <c r="O242" i="35"/>
  <c r="O243" i="35"/>
  <c r="O244" i="35"/>
  <c r="O245" i="35"/>
  <c r="O246" i="35"/>
  <c r="O247" i="35"/>
  <c r="O248" i="35"/>
  <c r="O249" i="35"/>
  <c r="O250" i="35"/>
  <c r="O251" i="35"/>
  <c r="O252" i="35"/>
  <c r="O253" i="35"/>
  <c r="O254" i="35"/>
  <c r="O255" i="35"/>
  <c r="O256" i="35"/>
  <c r="O257" i="35"/>
  <c r="O258" i="35"/>
  <c r="O259" i="35"/>
  <c r="O260" i="35"/>
  <c r="O261" i="35"/>
  <c r="O262" i="35"/>
  <c r="O263" i="35"/>
  <c r="O264" i="35"/>
  <c r="O265" i="35"/>
  <c r="O266" i="35"/>
  <c r="O267" i="35"/>
  <c r="O268" i="35"/>
  <c r="O269" i="35"/>
  <c r="O270" i="35"/>
  <c r="O271" i="35"/>
  <c r="O272" i="35"/>
  <c r="O273" i="35"/>
  <c r="O274" i="35"/>
  <c r="O275" i="35"/>
  <c r="O276" i="35"/>
  <c r="O277" i="35"/>
  <c r="O278" i="35"/>
  <c r="O279" i="35"/>
  <c r="O280" i="35"/>
  <c r="O281" i="35"/>
  <c r="O282" i="35"/>
  <c r="O283" i="35"/>
  <c r="O284" i="35"/>
  <c r="O285" i="35"/>
  <c r="O286" i="35"/>
  <c r="O287" i="35"/>
  <c r="O288" i="35"/>
  <c r="O289" i="35"/>
  <c r="O290" i="35"/>
  <c r="O291" i="35"/>
  <c r="O292" i="35"/>
  <c r="O293" i="35"/>
  <c r="O294" i="35"/>
  <c r="O295" i="35"/>
  <c r="O296" i="35"/>
  <c r="O297" i="35"/>
  <c r="O298" i="35"/>
  <c r="O299" i="35"/>
  <c r="O300" i="35"/>
  <c r="O301" i="35"/>
  <c r="O302" i="35"/>
  <c r="O303" i="35"/>
  <c r="O304" i="35"/>
  <c r="O305" i="35"/>
  <c r="O306" i="35"/>
  <c r="O307" i="35"/>
  <c r="O308" i="35"/>
  <c r="O309" i="35"/>
  <c r="O310" i="35"/>
  <c r="O311" i="35"/>
  <c r="O312" i="35"/>
  <c r="O313" i="35"/>
  <c r="O314" i="35"/>
  <c r="O315" i="35"/>
  <c r="O316" i="35"/>
  <c r="O317" i="35"/>
  <c r="O318" i="35"/>
  <c r="O319" i="35"/>
  <c r="O320" i="35"/>
  <c r="O184" i="35"/>
  <c r="O58" i="35"/>
  <c r="O59" i="35"/>
  <c r="O60" i="35"/>
  <c r="O61" i="35"/>
  <c r="O62" i="35"/>
  <c r="O63" i="35"/>
  <c r="O64" i="35"/>
  <c r="O65" i="35"/>
  <c r="O66" i="35"/>
  <c r="O67" i="35"/>
  <c r="O68" i="35"/>
  <c r="O69" i="35"/>
  <c r="O70" i="35"/>
  <c r="O71" i="35"/>
  <c r="O72" i="35"/>
  <c r="O73" i="35"/>
  <c r="O74" i="35"/>
  <c r="O75" i="35"/>
  <c r="O76" i="35"/>
  <c r="O77" i="35"/>
  <c r="O78" i="35"/>
  <c r="O79" i="35"/>
  <c r="O80" i="35"/>
  <c r="O81" i="35"/>
  <c r="O82" i="35"/>
  <c r="O83" i="35"/>
  <c r="O84" i="35"/>
  <c r="O85" i="35"/>
  <c r="O86" i="35"/>
  <c r="O87" i="35"/>
  <c r="O88" i="35"/>
  <c r="O89" i="35"/>
  <c r="O90" i="35"/>
  <c r="O91" i="35"/>
  <c r="O92" i="35"/>
  <c r="O93" i="35"/>
  <c r="O94" i="35"/>
  <c r="O95" i="35"/>
  <c r="O96" i="35"/>
  <c r="O97" i="35"/>
  <c r="O98" i="35"/>
  <c r="O99" i="35"/>
  <c r="O100" i="35"/>
  <c r="O101" i="35"/>
  <c r="O102" i="35"/>
  <c r="O103" i="35"/>
  <c r="O104" i="35"/>
  <c r="O105" i="35"/>
  <c r="O106" i="35"/>
  <c r="O107" i="35"/>
  <c r="O108" i="35"/>
  <c r="O109" i="35"/>
  <c r="O110" i="35"/>
  <c r="O111" i="35"/>
  <c r="O112" i="35"/>
  <c r="O113" i="35"/>
  <c r="O114" i="35"/>
  <c r="O115" i="35"/>
  <c r="O116" i="35"/>
  <c r="O117" i="35"/>
  <c r="O118" i="35"/>
  <c r="O119" i="35"/>
  <c r="O120" i="35"/>
  <c r="O121" i="35"/>
  <c r="O122" i="35"/>
  <c r="O123" i="35"/>
  <c r="O124" i="35"/>
  <c r="O125" i="35"/>
  <c r="O126" i="35"/>
  <c r="O127" i="35"/>
  <c r="O128" i="35"/>
  <c r="O129" i="35"/>
  <c r="O130" i="35"/>
  <c r="O131" i="35"/>
  <c r="O132" i="35"/>
  <c r="O133" i="35"/>
  <c r="O134" i="35"/>
  <c r="O135" i="35"/>
  <c r="O136" i="35"/>
  <c r="O137" i="35"/>
  <c r="O138" i="35"/>
  <c r="O139" i="35"/>
  <c r="O140" i="35"/>
  <c r="O141" i="35"/>
  <c r="O142" i="35"/>
  <c r="O143" i="35"/>
  <c r="O144" i="35"/>
  <c r="O145" i="35"/>
  <c r="O146" i="35"/>
  <c r="O147" i="35"/>
  <c r="O148" i="35"/>
  <c r="O149" i="35"/>
  <c r="O150" i="35"/>
  <c r="O151" i="35"/>
  <c r="O152" i="35"/>
  <c r="O153" i="35"/>
  <c r="O154" i="35"/>
  <c r="O155" i="35"/>
  <c r="O156" i="35"/>
  <c r="O157" i="35"/>
  <c r="O158" i="35"/>
  <c r="O159" i="35"/>
  <c r="O160" i="35"/>
  <c r="O161" i="35"/>
  <c r="O162" i="35"/>
  <c r="O163" i="35"/>
  <c r="O164" i="35"/>
  <c r="O165" i="35"/>
  <c r="O166" i="35"/>
  <c r="O167" i="35"/>
  <c r="O168" i="35"/>
  <c r="O169" i="35"/>
  <c r="O170" i="35"/>
  <c r="O171" i="35"/>
  <c r="O172" i="35"/>
  <c r="O173" i="35"/>
  <c r="O174" i="35"/>
  <c r="O175" i="35"/>
  <c r="O176" i="35"/>
  <c r="O177" i="35"/>
  <c r="O178" i="35"/>
  <c r="O179" i="35"/>
  <c r="O180" i="35"/>
  <c r="O181" i="35"/>
  <c r="O182" i="35"/>
  <c r="O183" i="35"/>
  <c r="O57" i="35"/>
  <c r="M57" i="35"/>
  <c r="M58" i="35"/>
  <c r="M59" i="35"/>
  <c r="M60" i="35"/>
  <c r="M61" i="35"/>
  <c r="M62" i="35"/>
  <c r="M63" i="35"/>
  <c r="M64" i="35"/>
  <c r="M65" i="35"/>
  <c r="M66" i="35"/>
  <c r="M67" i="35"/>
  <c r="M68" i="35"/>
  <c r="M69" i="35"/>
  <c r="M70" i="35"/>
  <c r="M71" i="35"/>
  <c r="M72" i="35"/>
  <c r="M73" i="35"/>
  <c r="M74" i="35"/>
  <c r="M75" i="35"/>
  <c r="M76" i="35"/>
  <c r="M77" i="35"/>
  <c r="M78" i="35"/>
  <c r="M79" i="35"/>
  <c r="M80" i="35"/>
  <c r="M81" i="35"/>
  <c r="M82" i="35"/>
  <c r="M83" i="35"/>
  <c r="M84" i="35"/>
  <c r="M85" i="35"/>
  <c r="M86" i="35"/>
  <c r="M87" i="35"/>
  <c r="M88" i="35"/>
  <c r="M89" i="35"/>
  <c r="M90" i="35"/>
  <c r="M91" i="35"/>
  <c r="M92" i="35"/>
  <c r="M93" i="35"/>
  <c r="M94" i="35"/>
  <c r="M95" i="35"/>
  <c r="M96" i="35"/>
  <c r="M97" i="35"/>
  <c r="M98" i="35"/>
  <c r="M99" i="35"/>
  <c r="M100" i="35"/>
  <c r="M101" i="35"/>
  <c r="M102" i="35"/>
  <c r="M103" i="35"/>
  <c r="M104" i="35"/>
  <c r="M105" i="35"/>
  <c r="M106" i="35"/>
  <c r="M107" i="35"/>
  <c r="M108" i="35"/>
  <c r="M109" i="35"/>
  <c r="M110" i="35"/>
  <c r="M111" i="35"/>
  <c r="M112" i="35"/>
  <c r="M113" i="35"/>
  <c r="M114" i="35"/>
  <c r="M115" i="35"/>
  <c r="M116" i="35"/>
  <c r="M117" i="35"/>
  <c r="M118" i="35"/>
  <c r="M119" i="35"/>
  <c r="M120" i="35"/>
  <c r="M121" i="35"/>
  <c r="M122" i="35"/>
  <c r="M123" i="35"/>
  <c r="M124" i="35"/>
  <c r="M125" i="35"/>
  <c r="M126" i="35"/>
  <c r="M127" i="35"/>
  <c r="M128" i="35"/>
  <c r="M129" i="35"/>
  <c r="M130" i="35"/>
  <c r="M131" i="35"/>
  <c r="M132" i="35"/>
  <c r="M133" i="35"/>
  <c r="M134" i="35"/>
  <c r="M135" i="35"/>
  <c r="M136" i="35"/>
  <c r="M137" i="35"/>
  <c r="M138" i="35"/>
  <c r="M139" i="35"/>
  <c r="M140" i="35"/>
  <c r="M141" i="35"/>
  <c r="M142" i="35"/>
  <c r="M143" i="35"/>
  <c r="M144" i="35"/>
  <c r="M145" i="35"/>
  <c r="M146" i="35"/>
  <c r="M147" i="35"/>
  <c r="M148" i="35"/>
  <c r="M149" i="35"/>
  <c r="M150" i="35"/>
  <c r="M151" i="35"/>
  <c r="M152" i="35"/>
  <c r="M153" i="35"/>
  <c r="M154" i="35"/>
  <c r="M155" i="35"/>
  <c r="M156" i="35"/>
  <c r="M157" i="35"/>
  <c r="M158" i="35"/>
  <c r="M159" i="35"/>
  <c r="M160" i="35"/>
  <c r="M161" i="35"/>
  <c r="M162" i="35"/>
  <c r="M163" i="35"/>
  <c r="M164" i="35"/>
  <c r="M165" i="35"/>
  <c r="M166" i="35"/>
  <c r="M167" i="35"/>
  <c r="M168" i="35"/>
  <c r="M169" i="35"/>
  <c r="M170" i="35"/>
  <c r="M171" i="35"/>
  <c r="M172" i="35"/>
  <c r="M173" i="35"/>
  <c r="M174" i="35"/>
  <c r="M175" i="35"/>
  <c r="M176" i="35"/>
  <c r="M177" i="35"/>
  <c r="M178" i="35"/>
  <c r="M179" i="35"/>
  <c r="M180" i="35"/>
  <c r="M181" i="35"/>
  <c r="M182" i="35"/>
  <c r="M183" i="35"/>
  <c r="M56" i="35"/>
  <c r="N325" i="35"/>
  <c r="N326" i="35"/>
  <c r="N327" i="35"/>
  <c r="N328" i="35"/>
  <c r="N329" i="35"/>
  <c r="N330" i="35"/>
  <c r="N331" i="35"/>
  <c r="N332" i="35"/>
  <c r="N333" i="35"/>
  <c r="N334" i="35"/>
  <c r="N335" i="35"/>
  <c r="N336" i="35"/>
  <c r="N337" i="35"/>
  <c r="N338" i="35"/>
  <c r="N339" i="35"/>
  <c r="N340" i="35"/>
  <c r="N341" i="35"/>
  <c r="N342" i="35"/>
  <c r="N343" i="35"/>
  <c r="N344" i="35"/>
  <c r="N345" i="35"/>
  <c r="N346" i="35"/>
  <c r="N347" i="35"/>
  <c r="N348" i="35"/>
  <c r="N349" i="35"/>
  <c r="N350" i="35"/>
  <c r="N351" i="35"/>
  <c r="N352" i="35"/>
  <c r="N353" i="35"/>
  <c r="N354" i="35"/>
  <c r="N355" i="35"/>
  <c r="N356" i="35"/>
  <c r="N357" i="35"/>
  <c r="N358" i="35"/>
  <c r="N359" i="35"/>
  <c r="N360" i="35"/>
  <c r="N361" i="35"/>
  <c r="N362" i="35"/>
  <c r="N363" i="35"/>
  <c r="N364" i="35"/>
  <c r="N365" i="35"/>
  <c r="N366" i="35"/>
  <c r="N367" i="35"/>
  <c r="N368" i="35"/>
  <c r="N369" i="35"/>
  <c r="N370" i="35"/>
  <c r="N371" i="35"/>
  <c r="N372" i="35"/>
  <c r="N373" i="35"/>
  <c r="N374" i="35"/>
  <c r="N375" i="35"/>
  <c r="N376" i="35"/>
  <c r="N377" i="35"/>
  <c r="N378" i="35"/>
  <c r="N379" i="35"/>
  <c r="N380" i="35"/>
  <c r="N381" i="35"/>
  <c r="N382" i="35"/>
  <c r="N383" i="35"/>
  <c r="N384" i="35"/>
  <c r="N385" i="35"/>
  <c r="N386" i="35"/>
  <c r="N387" i="35"/>
  <c r="N388" i="35"/>
  <c r="N389" i="35"/>
  <c r="N390" i="35"/>
  <c r="N391" i="35"/>
  <c r="N392" i="35"/>
  <c r="N393" i="35"/>
  <c r="N394" i="35"/>
  <c r="N395" i="35"/>
  <c r="N396" i="35"/>
  <c r="N397" i="35"/>
  <c r="N398" i="35"/>
  <c r="N399" i="35"/>
  <c r="N400" i="35"/>
  <c r="N401" i="35"/>
  <c r="N402" i="35"/>
  <c r="N403" i="35"/>
  <c r="N404" i="35"/>
  <c r="N405" i="35"/>
  <c r="N406" i="35"/>
  <c r="N407" i="35"/>
  <c r="N408" i="35"/>
  <c r="N409" i="35"/>
  <c r="N410" i="35"/>
  <c r="N411" i="35"/>
  <c r="N412" i="35"/>
  <c r="N413" i="35"/>
  <c r="N414" i="35"/>
  <c r="N415" i="35"/>
  <c r="N416" i="35"/>
  <c r="N417" i="35"/>
  <c r="N418" i="35"/>
  <c r="N419" i="35"/>
  <c r="N420" i="35"/>
  <c r="N421" i="35"/>
  <c r="N422" i="35"/>
  <c r="N423" i="35"/>
  <c r="N424" i="35"/>
  <c r="N425" i="35"/>
  <c r="N426" i="35"/>
  <c r="N427" i="35"/>
  <c r="N428" i="35"/>
  <c r="N429" i="35"/>
  <c r="N430" i="35"/>
  <c r="N431" i="35"/>
  <c r="N432" i="35"/>
  <c r="N433" i="35"/>
  <c r="N434" i="35"/>
  <c r="N435" i="35"/>
  <c r="N436" i="35"/>
  <c r="N437" i="35"/>
  <c r="N438" i="35"/>
  <c r="N439" i="35"/>
  <c r="N440" i="35"/>
  <c r="N441" i="35"/>
  <c r="N442" i="35"/>
  <c r="N443" i="35"/>
  <c r="N444" i="35"/>
  <c r="N445" i="35"/>
  <c r="N446" i="35"/>
  <c r="N447" i="35"/>
  <c r="N448" i="35"/>
  <c r="N449" i="35"/>
  <c r="N450" i="35"/>
  <c r="N451" i="35"/>
  <c r="N452" i="35"/>
  <c r="N453" i="35"/>
  <c r="N454" i="35"/>
  <c r="N455" i="35"/>
  <c r="N456" i="35"/>
  <c r="N457" i="35"/>
  <c r="N458" i="35"/>
  <c r="N459" i="35"/>
  <c r="N460" i="35"/>
  <c r="N461" i="35"/>
  <c r="N462" i="35"/>
  <c r="N463" i="35"/>
  <c r="N464" i="35"/>
  <c r="N465" i="35"/>
  <c r="N466" i="35"/>
  <c r="N467" i="35"/>
  <c r="N468" i="35"/>
  <c r="N469" i="35"/>
  <c r="N470" i="35"/>
  <c r="N471" i="35"/>
  <c r="N472" i="35"/>
  <c r="N473" i="35"/>
  <c r="N474" i="35"/>
  <c r="N475" i="35"/>
  <c r="N476" i="35"/>
  <c r="N477" i="35"/>
  <c r="N478" i="35"/>
  <c r="N479" i="35"/>
  <c r="N480" i="35"/>
  <c r="N481" i="35"/>
  <c r="N482" i="35"/>
  <c r="N483" i="35"/>
  <c r="N484" i="35"/>
  <c r="N485" i="35"/>
  <c r="N486" i="35"/>
  <c r="N487" i="35"/>
  <c r="N488" i="35"/>
  <c r="N489" i="35"/>
  <c r="N490" i="35"/>
  <c r="N491" i="35"/>
  <c r="N492" i="35"/>
  <c r="N493" i="35"/>
  <c r="N494" i="35"/>
  <c r="N495" i="35"/>
  <c r="N496" i="35"/>
  <c r="N497" i="35"/>
  <c r="N498" i="35"/>
  <c r="N499" i="35"/>
  <c r="N500" i="35"/>
  <c r="N501" i="35"/>
  <c r="N502" i="35"/>
  <c r="N503" i="35"/>
  <c r="N504" i="35"/>
  <c r="N505" i="35"/>
  <c r="N506" i="35"/>
  <c r="N507" i="35"/>
  <c r="N508" i="35"/>
  <c r="N509" i="35"/>
  <c r="N510" i="35"/>
  <c r="N511" i="35"/>
  <c r="N512" i="35"/>
  <c r="N513" i="35"/>
  <c r="N514" i="35"/>
  <c r="N515" i="35"/>
  <c r="N516" i="35"/>
  <c r="N517" i="35"/>
  <c r="N518" i="35"/>
  <c r="N519" i="35"/>
  <c r="N520" i="35"/>
  <c r="N521" i="35"/>
  <c r="N522" i="35"/>
  <c r="N523" i="35"/>
  <c r="N524" i="35"/>
  <c r="N525" i="35"/>
  <c r="N526" i="35"/>
  <c r="N527" i="35"/>
  <c r="N528" i="35"/>
  <c r="N529" i="35"/>
  <c r="N530" i="35"/>
  <c r="N531" i="35"/>
  <c r="N532" i="35"/>
  <c r="N533" i="35"/>
  <c r="N534" i="35"/>
  <c r="N535" i="35"/>
  <c r="N536" i="35"/>
  <c r="N537" i="35"/>
  <c r="N538" i="35"/>
  <c r="N539" i="35"/>
  <c r="N540" i="35"/>
  <c r="N541" i="35"/>
  <c r="N542" i="35"/>
  <c r="N543" i="35"/>
  <c r="N544" i="35"/>
  <c r="N545" i="35"/>
  <c r="N546" i="35"/>
  <c r="N547" i="35"/>
  <c r="N548" i="35"/>
  <c r="N549" i="35"/>
  <c r="N550" i="35"/>
  <c r="N551" i="35"/>
  <c r="N552" i="35"/>
  <c r="N553" i="35"/>
  <c r="N554" i="35"/>
  <c r="N555" i="35"/>
  <c r="N556" i="35"/>
  <c r="N557" i="35"/>
  <c r="N558" i="35"/>
  <c r="N559" i="35"/>
  <c r="N560" i="35"/>
  <c r="N561" i="35"/>
  <c r="N562" i="35"/>
  <c r="N563" i="35"/>
  <c r="N564" i="35"/>
  <c r="N565" i="35"/>
  <c r="N566" i="35"/>
  <c r="N567" i="35"/>
  <c r="N568" i="35"/>
  <c r="N569" i="35"/>
  <c r="N570" i="35"/>
  <c r="N571" i="35"/>
  <c r="N572" i="35"/>
  <c r="N573" i="35"/>
  <c r="N574" i="35"/>
  <c r="N575" i="35"/>
  <c r="N576" i="35"/>
  <c r="N577" i="35"/>
  <c r="N578" i="35"/>
  <c r="N579" i="35"/>
  <c r="N580" i="35"/>
  <c r="N581" i="35"/>
  <c r="N582" i="35"/>
  <c r="N583" i="35"/>
  <c r="N584" i="35"/>
  <c r="N585" i="35"/>
  <c r="N586" i="35"/>
  <c r="N587" i="35"/>
  <c r="N588" i="35"/>
  <c r="N324" i="35"/>
  <c r="N185" i="35"/>
  <c r="N186" i="35"/>
  <c r="N187" i="35"/>
  <c r="N188" i="35"/>
  <c r="N189" i="35"/>
  <c r="N190" i="35"/>
  <c r="N191" i="35"/>
  <c r="N192" i="35"/>
  <c r="N193" i="35"/>
  <c r="N194" i="35"/>
  <c r="N195" i="35"/>
  <c r="N196" i="35"/>
  <c r="N197" i="35"/>
  <c r="N198" i="35"/>
  <c r="N199" i="35"/>
  <c r="N200" i="35"/>
  <c r="N201" i="35"/>
  <c r="N202" i="35"/>
  <c r="N203" i="35"/>
  <c r="N204" i="35"/>
  <c r="N205" i="35"/>
  <c r="N206" i="35"/>
  <c r="N207" i="35"/>
  <c r="N208" i="35"/>
  <c r="N209" i="35"/>
  <c r="N210" i="35"/>
  <c r="N211" i="35"/>
  <c r="N212" i="35"/>
  <c r="N213" i="35"/>
  <c r="N214" i="35"/>
  <c r="N215" i="35"/>
  <c r="N216" i="35"/>
  <c r="N217" i="35"/>
  <c r="N218" i="35"/>
  <c r="N219" i="35"/>
  <c r="N220" i="35"/>
  <c r="N221" i="35"/>
  <c r="N222" i="35"/>
  <c r="N223" i="35"/>
  <c r="N224" i="35"/>
  <c r="N225" i="35"/>
  <c r="N226" i="35"/>
  <c r="N227" i="35"/>
  <c r="N228" i="35"/>
  <c r="N229" i="35"/>
  <c r="N230" i="35"/>
  <c r="N231" i="35"/>
  <c r="N232" i="35"/>
  <c r="N233" i="35"/>
  <c r="N234" i="35"/>
  <c r="N235" i="35"/>
  <c r="N236" i="35"/>
  <c r="N237" i="35"/>
  <c r="N238" i="35"/>
  <c r="N239" i="35"/>
  <c r="N240" i="35"/>
  <c r="N241" i="35"/>
  <c r="N242" i="35"/>
  <c r="N243" i="35"/>
  <c r="N244" i="35"/>
  <c r="N245" i="35"/>
  <c r="N246" i="35"/>
  <c r="N247" i="35"/>
  <c r="N248" i="35"/>
  <c r="N249" i="35"/>
  <c r="N250" i="35"/>
  <c r="N251" i="35"/>
  <c r="N252" i="35"/>
  <c r="N253" i="35"/>
  <c r="N254" i="35"/>
  <c r="N255" i="35"/>
  <c r="N256" i="35"/>
  <c r="N257" i="35"/>
  <c r="N258" i="35"/>
  <c r="N259" i="35"/>
  <c r="N260" i="35"/>
  <c r="N261" i="35"/>
  <c r="N262" i="35"/>
  <c r="N263" i="35"/>
  <c r="N264" i="35"/>
  <c r="N265" i="35"/>
  <c r="N266" i="35"/>
  <c r="N267" i="35"/>
  <c r="N268" i="35"/>
  <c r="N269" i="35"/>
  <c r="N270" i="35"/>
  <c r="N271" i="35"/>
  <c r="N272" i="35"/>
  <c r="N273" i="35"/>
  <c r="N274" i="35"/>
  <c r="N275" i="35"/>
  <c r="N276" i="35"/>
  <c r="N277" i="35"/>
  <c r="N278" i="35"/>
  <c r="N279" i="35"/>
  <c r="N280" i="35"/>
  <c r="N281" i="35"/>
  <c r="N282" i="35"/>
  <c r="N283" i="35"/>
  <c r="N284" i="35"/>
  <c r="N285" i="35"/>
  <c r="N286" i="35"/>
  <c r="N287" i="35"/>
  <c r="N288" i="35"/>
  <c r="N289" i="35"/>
  <c r="N290" i="35"/>
  <c r="N291" i="35"/>
  <c r="N292" i="35"/>
  <c r="N293" i="35"/>
  <c r="N294" i="35"/>
  <c r="N295" i="35"/>
  <c r="N296" i="35"/>
  <c r="N297" i="35"/>
  <c r="N298" i="35"/>
  <c r="N299" i="35"/>
  <c r="N300" i="35"/>
  <c r="N301" i="35"/>
  <c r="N302" i="35"/>
  <c r="N303" i="35"/>
  <c r="N304" i="35"/>
  <c r="N305" i="35"/>
  <c r="N306" i="35"/>
  <c r="N307" i="35"/>
  <c r="N308" i="35"/>
  <c r="N309" i="35"/>
  <c r="N310" i="35"/>
  <c r="N311" i="35"/>
  <c r="N312" i="35"/>
  <c r="N313" i="35"/>
  <c r="N314" i="35"/>
  <c r="N315" i="35"/>
  <c r="N316" i="35"/>
  <c r="N317" i="35"/>
  <c r="N318" i="35"/>
  <c r="N319" i="35"/>
  <c r="N320" i="35"/>
  <c r="N184" i="35"/>
  <c r="N57" i="35"/>
  <c r="N58" i="35"/>
  <c r="N59" i="35"/>
  <c r="N60" i="35"/>
  <c r="N61" i="35"/>
  <c r="N62" i="35"/>
  <c r="N63" i="35"/>
  <c r="N64" i="35"/>
  <c r="N65" i="35"/>
  <c r="N66" i="35"/>
  <c r="N67" i="35"/>
  <c r="N68" i="35"/>
  <c r="N69" i="35"/>
  <c r="N70" i="35"/>
  <c r="N71" i="35"/>
  <c r="N72" i="35"/>
  <c r="N73" i="35"/>
  <c r="N74" i="35"/>
  <c r="N75" i="35"/>
  <c r="N76" i="35"/>
  <c r="N77" i="35"/>
  <c r="N78" i="35"/>
  <c r="N79" i="35"/>
  <c r="N80" i="35"/>
  <c r="N81" i="35"/>
  <c r="N82" i="35"/>
  <c r="N83" i="35"/>
  <c r="N84" i="35"/>
  <c r="N85" i="35"/>
  <c r="N86" i="35"/>
  <c r="N87" i="35"/>
  <c r="N88" i="35"/>
  <c r="N89" i="35"/>
  <c r="N90" i="35"/>
  <c r="N91" i="35"/>
  <c r="N92" i="35"/>
  <c r="N93" i="35"/>
  <c r="N94" i="35"/>
  <c r="N95" i="35"/>
  <c r="N96" i="35"/>
  <c r="N97" i="35"/>
  <c r="N98" i="35"/>
  <c r="N99" i="35"/>
  <c r="N100" i="35"/>
  <c r="N101" i="35"/>
  <c r="N102" i="35"/>
  <c r="N103" i="35"/>
  <c r="N104" i="35"/>
  <c r="N105" i="35"/>
  <c r="N106" i="35"/>
  <c r="N107" i="35"/>
  <c r="N108" i="35"/>
  <c r="N109" i="35"/>
  <c r="N110" i="35"/>
  <c r="N111" i="35"/>
  <c r="N112" i="35"/>
  <c r="N113" i="35"/>
  <c r="N114" i="35"/>
  <c r="N115" i="35"/>
  <c r="N116" i="35"/>
  <c r="N117" i="35"/>
  <c r="N118" i="35"/>
  <c r="N119" i="35"/>
  <c r="N120" i="35"/>
  <c r="N121" i="35"/>
  <c r="N122" i="35"/>
  <c r="N123" i="35"/>
  <c r="N124" i="35"/>
  <c r="N125" i="35"/>
  <c r="N126" i="35"/>
  <c r="N127" i="35"/>
  <c r="N128" i="35"/>
  <c r="N129" i="35"/>
  <c r="N130" i="35"/>
  <c r="N131" i="35"/>
  <c r="N132" i="35"/>
  <c r="N133" i="35"/>
  <c r="N134" i="35"/>
  <c r="N135" i="35"/>
  <c r="N136" i="35"/>
  <c r="N137" i="35"/>
  <c r="N138" i="35"/>
  <c r="N139" i="35"/>
  <c r="N140" i="35"/>
  <c r="N141" i="35"/>
  <c r="N142" i="35"/>
  <c r="N143" i="35"/>
  <c r="N144" i="35"/>
  <c r="N145" i="35"/>
  <c r="N146" i="35"/>
  <c r="N147" i="35"/>
  <c r="N148" i="35"/>
  <c r="N149" i="35"/>
  <c r="N150" i="35"/>
  <c r="N151" i="35"/>
  <c r="N152" i="35"/>
  <c r="N153" i="35"/>
  <c r="N154" i="35"/>
  <c r="N155" i="35"/>
  <c r="N156" i="35"/>
  <c r="N157" i="35"/>
  <c r="N158" i="35"/>
  <c r="N159" i="35"/>
  <c r="N160" i="35"/>
  <c r="N161" i="35"/>
  <c r="N162" i="35"/>
  <c r="N163" i="35"/>
  <c r="N164" i="35"/>
  <c r="N165" i="35"/>
  <c r="N166" i="35"/>
  <c r="N167" i="35"/>
  <c r="N168" i="35"/>
  <c r="N169" i="35"/>
  <c r="N170" i="35"/>
  <c r="N171" i="35"/>
  <c r="N172" i="35"/>
  <c r="N173" i="35"/>
  <c r="N174" i="35"/>
  <c r="N175" i="35"/>
  <c r="N176" i="35"/>
  <c r="N177" i="35"/>
  <c r="N178" i="35"/>
  <c r="N179" i="35"/>
  <c r="N180" i="35"/>
  <c r="N181" i="35"/>
  <c r="N182" i="35"/>
  <c r="N183" i="35"/>
  <c r="N56" i="35"/>
  <c r="T55" i="35" l="1"/>
  <c r="T54" i="35"/>
  <c r="T53" i="35"/>
  <c r="T52" i="35"/>
  <c r="T51" i="35"/>
  <c r="T50" i="35"/>
  <c r="T49" i="35"/>
  <c r="T48" i="35"/>
  <c r="T47" i="35"/>
  <c r="T46" i="35"/>
  <c r="T32" i="35"/>
  <c r="T31" i="35"/>
  <c r="T30" i="35"/>
  <c r="T29" i="35"/>
  <c r="T28" i="35"/>
  <c r="T27" i="35"/>
  <c r="T26" i="35"/>
  <c r="T25" i="35"/>
  <c r="T24" i="35"/>
  <c r="T23" i="35"/>
  <c r="AC12" i="35"/>
  <c r="AC13" i="35"/>
  <c r="AC14" i="35"/>
  <c r="AC15" i="35"/>
  <c r="AC16" i="35"/>
  <c r="AC17" i="35"/>
  <c r="AC18" i="35"/>
  <c r="AC19" i="35"/>
  <c r="AC20" i="35"/>
  <c r="AC11" i="35"/>
  <c r="U12" i="35"/>
  <c r="U13" i="35"/>
  <c r="U14" i="35"/>
  <c r="U15" i="35"/>
  <c r="U16" i="35"/>
  <c r="U17" i="35"/>
  <c r="U18" i="35"/>
  <c r="U19" i="35"/>
  <c r="U20" i="35"/>
  <c r="U11" i="35"/>
  <c r="N12" i="35"/>
  <c r="N13" i="35"/>
  <c r="N14" i="35"/>
  <c r="N15" i="35"/>
  <c r="N16" i="35"/>
  <c r="N17" i="35"/>
  <c r="N18" i="35"/>
  <c r="N19" i="35"/>
  <c r="N20" i="35"/>
  <c r="N11" i="35"/>
  <c r="N4" i="35"/>
  <c r="O23" i="32"/>
  <c r="O24" i="32"/>
  <c r="O25" i="32"/>
  <c r="O26" i="32"/>
  <c r="O27" i="32"/>
  <c r="O28" i="32"/>
  <c r="O29" i="32"/>
  <c r="O30" i="32"/>
  <c r="O31" i="32"/>
  <c r="O32" i="32"/>
  <c r="O33" i="32"/>
  <c r="O34" i="32"/>
  <c r="O35" i="32"/>
  <c r="O36" i="32"/>
  <c r="O37" i="32"/>
  <c r="O38" i="32"/>
  <c r="O39" i="32"/>
  <c r="O40" i="32"/>
  <c r="O41" i="32"/>
  <c r="O42" i="32"/>
  <c r="O43" i="32"/>
  <c r="O44" i="32"/>
  <c r="O45" i="32"/>
  <c r="O46" i="32"/>
  <c r="O47" i="32"/>
  <c r="O48" i="32"/>
  <c r="O49" i="32"/>
  <c r="O50" i="32"/>
  <c r="O51" i="32"/>
  <c r="O52" i="32"/>
  <c r="O53" i="32"/>
  <c r="O54" i="32"/>
  <c r="O55" i="32"/>
  <c r="O56" i="32"/>
  <c r="O57" i="32"/>
  <c r="O58" i="32"/>
  <c r="O59" i="32"/>
  <c r="O60" i="32"/>
  <c r="O61" i="32"/>
  <c r="O62" i="32"/>
  <c r="O63" i="32"/>
  <c r="O64" i="32"/>
  <c r="O65" i="32"/>
  <c r="O66" i="32"/>
  <c r="O67" i="32"/>
  <c r="O68" i="32"/>
  <c r="O69" i="32"/>
  <c r="O70" i="32"/>
  <c r="O71" i="32"/>
  <c r="O72" i="32"/>
  <c r="O73" i="32"/>
  <c r="O74" i="32"/>
  <c r="O75" i="32"/>
  <c r="O76" i="32"/>
  <c r="O77" i="32"/>
  <c r="O78" i="32"/>
  <c r="O79" i="32"/>
  <c r="O80" i="32"/>
  <c r="O81" i="32"/>
  <c r="O82" i="32"/>
  <c r="O83" i="32"/>
  <c r="O84" i="32"/>
  <c r="O85" i="32"/>
  <c r="O86" i="32"/>
  <c r="O87" i="32"/>
  <c r="O88" i="32"/>
  <c r="O89" i="32"/>
  <c r="O90" i="32"/>
  <c r="O91" i="32"/>
  <c r="O92" i="32"/>
  <c r="O93" i="32"/>
  <c r="O94" i="32"/>
  <c r="O95" i="32"/>
  <c r="O96" i="32"/>
  <c r="O97" i="32"/>
  <c r="O98" i="32"/>
  <c r="O99" i="32"/>
  <c r="O100" i="32"/>
  <c r="O101" i="32"/>
  <c r="O102" i="32"/>
  <c r="O103" i="32"/>
  <c r="O104" i="32"/>
  <c r="O105" i="32"/>
  <c r="O106" i="32"/>
  <c r="O107" i="32"/>
  <c r="O108" i="32"/>
  <c r="O109" i="32"/>
  <c r="O110" i="32"/>
  <c r="O111" i="32"/>
  <c r="O112" i="32"/>
  <c r="O113" i="32"/>
  <c r="O114" i="32"/>
  <c r="O115" i="32"/>
  <c r="O116" i="32"/>
  <c r="O117" i="32"/>
  <c r="O118" i="32"/>
  <c r="O119" i="32"/>
  <c r="O120" i="32"/>
  <c r="O121" i="32"/>
  <c r="O122" i="32"/>
  <c r="O123" i="32"/>
  <c r="O124" i="32"/>
  <c r="O125" i="32"/>
  <c r="O126" i="32"/>
  <c r="O127" i="32"/>
  <c r="O128" i="32"/>
  <c r="O129" i="32"/>
  <c r="O130" i="32"/>
  <c r="O131" i="32"/>
  <c r="O132" i="32"/>
  <c r="O133" i="32"/>
  <c r="O134" i="32"/>
  <c r="O135" i="32"/>
  <c r="O136" i="32"/>
  <c r="O137" i="32"/>
  <c r="O138" i="32"/>
  <c r="O139" i="32"/>
  <c r="O140" i="32"/>
  <c r="O141" i="32"/>
  <c r="O142" i="32"/>
  <c r="O143" i="32"/>
  <c r="O144" i="32"/>
  <c r="O145" i="32"/>
  <c r="O146" i="32"/>
  <c r="O147" i="32"/>
  <c r="O148" i="32"/>
  <c r="O149" i="32"/>
  <c r="O150" i="32"/>
  <c r="O151" i="32"/>
  <c r="O152" i="32"/>
  <c r="O153" i="32"/>
  <c r="O154" i="32"/>
  <c r="O155" i="32"/>
  <c r="O156" i="32"/>
  <c r="O157" i="32"/>
  <c r="O158" i="32"/>
  <c r="O159" i="32"/>
  <c r="O160" i="32"/>
  <c r="O161" i="32"/>
  <c r="O162" i="32"/>
  <c r="O163" i="32"/>
  <c r="O164" i="32"/>
  <c r="O165" i="32"/>
  <c r="O166" i="32"/>
  <c r="O167" i="32"/>
  <c r="O168" i="32"/>
  <c r="O169" i="32"/>
  <c r="O170" i="32"/>
  <c r="O171" i="32"/>
  <c r="O22" i="32"/>
  <c r="B10" i="20" l="1"/>
  <c r="AL12" i="35" l="1"/>
  <c r="AL13" i="35"/>
  <c r="AL14" i="35"/>
  <c r="AL15" i="35"/>
  <c r="AL16" i="35"/>
  <c r="AL17" i="35"/>
  <c r="AL18" i="35"/>
  <c r="AL19" i="35"/>
  <c r="AL20" i="35"/>
  <c r="AL21" i="35"/>
  <c r="AL22" i="35"/>
  <c r="AL23" i="35"/>
  <c r="AL24" i="35"/>
  <c r="AL25" i="35"/>
  <c r="AL26" i="35"/>
  <c r="AL27" i="35"/>
  <c r="AL28" i="35"/>
  <c r="AL29" i="35"/>
  <c r="AL30" i="35"/>
  <c r="AL31" i="35"/>
  <c r="AL32" i="35"/>
  <c r="AL33" i="35"/>
  <c r="AL34" i="35"/>
  <c r="AL35" i="35"/>
  <c r="AL36" i="35"/>
  <c r="AL37" i="35"/>
  <c r="AL38" i="35"/>
  <c r="AL39" i="35"/>
  <c r="AL40" i="35"/>
  <c r="AL41" i="35"/>
  <c r="AL42" i="35"/>
  <c r="AL43" i="35"/>
  <c r="AL44" i="35"/>
  <c r="AL45" i="35"/>
  <c r="AL46" i="35"/>
  <c r="AL47" i="35"/>
  <c r="AL48" i="35"/>
  <c r="AL49" i="35"/>
  <c r="AL50" i="35"/>
  <c r="AL51" i="35"/>
  <c r="AL52" i="35"/>
  <c r="AL53" i="35"/>
  <c r="AL54" i="35"/>
  <c r="AL55" i="35"/>
  <c r="AL56" i="35"/>
  <c r="AL57" i="35"/>
  <c r="AL58" i="35"/>
  <c r="AL59" i="35"/>
  <c r="AL60" i="35"/>
  <c r="AL61" i="35"/>
  <c r="AL62" i="35"/>
  <c r="AL63" i="35"/>
  <c r="AL64" i="35"/>
  <c r="AL65" i="35"/>
  <c r="AL66" i="35"/>
  <c r="AL67" i="35"/>
  <c r="AL68" i="35"/>
  <c r="AL69" i="35"/>
  <c r="AL70" i="35"/>
  <c r="AL71" i="35"/>
  <c r="AL72" i="35"/>
  <c r="AL73" i="35"/>
  <c r="AL74" i="35"/>
  <c r="AL75" i="35"/>
  <c r="AL76" i="35"/>
  <c r="AL77" i="35"/>
  <c r="AL78" i="35"/>
  <c r="AL79" i="35"/>
  <c r="AL80" i="35"/>
  <c r="AL81" i="35"/>
  <c r="AL82" i="35"/>
  <c r="AL83" i="35"/>
  <c r="AL84" i="35"/>
  <c r="AL85" i="35"/>
  <c r="AL86" i="35"/>
  <c r="AL87" i="35"/>
  <c r="AL88" i="35"/>
  <c r="AL89" i="35"/>
  <c r="AL90" i="35"/>
  <c r="AL91" i="35"/>
  <c r="AL92" i="35"/>
  <c r="AL93" i="35"/>
  <c r="AL94" i="35"/>
  <c r="AL95" i="35"/>
  <c r="AL96" i="35"/>
  <c r="AL97" i="35"/>
  <c r="AL98" i="35"/>
  <c r="AL99" i="35"/>
  <c r="AL100" i="35"/>
  <c r="AL101" i="35"/>
  <c r="AL102" i="35"/>
  <c r="AL103" i="35"/>
  <c r="AL104" i="35"/>
  <c r="AL105" i="35"/>
  <c r="AL106" i="35"/>
  <c r="AL107" i="35"/>
  <c r="AL108" i="35"/>
  <c r="AL109" i="35"/>
  <c r="AL110" i="35"/>
  <c r="AL111" i="35"/>
  <c r="AL112" i="35"/>
  <c r="AL113" i="35"/>
  <c r="AL114" i="35"/>
  <c r="AL115" i="35"/>
  <c r="AL116" i="35"/>
  <c r="AL117" i="35"/>
  <c r="AL118" i="35"/>
  <c r="AL119" i="35"/>
  <c r="AL120" i="35"/>
  <c r="AL121" i="35"/>
  <c r="AL122" i="35"/>
  <c r="AL123" i="35"/>
  <c r="AL124" i="35"/>
  <c r="AL125" i="35"/>
  <c r="AL126" i="35"/>
  <c r="AL127" i="35"/>
  <c r="AL128" i="35"/>
  <c r="AL129" i="35"/>
  <c r="AL130" i="35"/>
  <c r="AL131" i="35"/>
  <c r="AL132" i="35"/>
  <c r="AL133" i="35"/>
  <c r="AL134" i="35"/>
  <c r="AL135" i="35"/>
  <c r="AL136" i="35"/>
  <c r="AL137" i="35"/>
  <c r="AL138" i="35"/>
  <c r="AL139" i="35"/>
  <c r="AL140" i="35"/>
  <c r="AL141" i="35"/>
  <c r="AL142" i="35"/>
  <c r="AL143" i="35"/>
  <c r="AL144" i="35"/>
  <c r="AL145" i="35"/>
  <c r="AL146" i="35"/>
  <c r="AL147" i="35"/>
  <c r="AL148" i="35"/>
  <c r="AL149" i="35"/>
  <c r="AL150" i="35"/>
  <c r="AL151" i="35"/>
  <c r="AL152" i="35"/>
  <c r="AL153" i="35"/>
  <c r="AL154" i="35"/>
  <c r="AL155" i="35"/>
  <c r="AL156" i="35"/>
  <c r="AL157" i="35"/>
  <c r="AL158" i="35"/>
  <c r="AL159" i="35"/>
  <c r="AL160" i="35"/>
  <c r="AL161" i="35"/>
  <c r="AL162" i="35"/>
  <c r="AL163" i="35"/>
  <c r="AL164" i="35"/>
  <c r="AL165" i="35"/>
  <c r="AL166" i="35"/>
  <c r="AL167" i="35"/>
  <c r="AL168" i="35"/>
  <c r="AL169" i="35"/>
  <c r="AL170" i="35"/>
  <c r="AL171" i="35"/>
  <c r="AL172" i="35"/>
  <c r="AL173" i="35"/>
  <c r="AL174" i="35"/>
  <c r="AL175" i="35"/>
  <c r="AL176" i="35"/>
  <c r="AL11" i="35"/>
  <c r="O22" i="34" l="1"/>
  <c r="O23" i="34"/>
  <c r="O24" i="34"/>
  <c r="O25" i="34"/>
  <c r="O26" i="34"/>
  <c r="O27" i="34"/>
  <c r="O28" i="34"/>
  <c r="O29" i="34"/>
  <c r="O30" i="34"/>
  <c r="O31" i="34"/>
  <c r="O32" i="34"/>
  <c r="O33" i="34"/>
  <c r="O34" i="34"/>
  <c r="O35" i="34"/>
  <c r="O36" i="34"/>
  <c r="O37" i="34"/>
  <c r="O38" i="34"/>
  <c r="O39" i="34"/>
  <c r="O40" i="34"/>
  <c r="O41" i="34"/>
  <c r="O42" i="34"/>
  <c r="O43" i="34"/>
  <c r="O44" i="34"/>
  <c r="O45" i="34"/>
  <c r="O46" i="34"/>
  <c r="O47" i="34"/>
  <c r="O48" i="34"/>
  <c r="O49" i="34"/>
  <c r="O50" i="34"/>
  <c r="O51" i="34"/>
  <c r="O52" i="34"/>
  <c r="O53" i="34"/>
  <c r="O54" i="34"/>
  <c r="O55" i="34"/>
  <c r="O56" i="34"/>
  <c r="O57" i="34"/>
  <c r="O58" i="34"/>
  <c r="O59" i="34"/>
  <c r="O60" i="34"/>
  <c r="O61" i="34"/>
  <c r="O62" i="34"/>
  <c r="O63" i="34"/>
  <c r="O64" i="34"/>
  <c r="O65" i="34"/>
  <c r="O66" i="34"/>
  <c r="O67" i="34"/>
  <c r="O68" i="34"/>
  <c r="O69" i="34"/>
  <c r="O70" i="34"/>
  <c r="O71" i="34"/>
  <c r="O72" i="34"/>
  <c r="O73" i="34"/>
  <c r="O74" i="34"/>
  <c r="O75" i="34"/>
  <c r="O76" i="34"/>
  <c r="O77" i="34"/>
  <c r="O78" i="34"/>
  <c r="O79" i="34"/>
  <c r="O80" i="34"/>
  <c r="O81" i="34"/>
  <c r="O82" i="34"/>
  <c r="O83" i="34"/>
  <c r="O84" i="34"/>
  <c r="O85" i="34"/>
  <c r="O86" i="34"/>
  <c r="O87" i="34"/>
  <c r="O88" i="34"/>
  <c r="O89" i="34"/>
  <c r="O90" i="34"/>
  <c r="O91" i="34"/>
  <c r="O92" i="34"/>
  <c r="O93" i="34"/>
  <c r="O94" i="34"/>
  <c r="O95" i="34"/>
  <c r="O96" i="34"/>
  <c r="O97" i="34"/>
  <c r="O98" i="34"/>
  <c r="O99" i="34"/>
  <c r="O100" i="34"/>
  <c r="O101" i="34"/>
  <c r="O102" i="34"/>
  <c r="O103" i="34"/>
  <c r="O104" i="34"/>
  <c r="O105" i="34"/>
  <c r="O106" i="34"/>
  <c r="O107" i="34"/>
  <c r="O108" i="34"/>
  <c r="O109" i="34"/>
  <c r="O110" i="34"/>
  <c r="O111" i="34"/>
  <c r="O112" i="34"/>
  <c r="O113" i="34"/>
  <c r="O114" i="34"/>
  <c r="O115" i="34"/>
  <c r="O116" i="34"/>
  <c r="O117" i="34"/>
  <c r="O118" i="34"/>
  <c r="O119" i="34"/>
  <c r="O120" i="34"/>
  <c r="O121" i="34"/>
  <c r="O122" i="34"/>
  <c r="O123" i="34"/>
  <c r="O124" i="34"/>
  <c r="O125" i="34"/>
  <c r="O126" i="34"/>
  <c r="O127" i="34"/>
  <c r="O128" i="34"/>
  <c r="O129" i="34"/>
  <c r="O130" i="34"/>
  <c r="O131" i="34"/>
  <c r="O132" i="34"/>
  <c r="O133" i="34"/>
  <c r="O134" i="34"/>
  <c r="O135" i="34"/>
  <c r="O136" i="34"/>
  <c r="O137" i="34"/>
  <c r="O138" i="34"/>
  <c r="O139" i="34"/>
  <c r="O140" i="34"/>
  <c r="O141" i="34"/>
  <c r="O142" i="34"/>
  <c r="O143" i="34"/>
  <c r="O144" i="34"/>
  <c r="O145" i="34"/>
  <c r="O146" i="34"/>
  <c r="O147" i="34"/>
  <c r="O148" i="34"/>
  <c r="O149" i="34"/>
  <c r="O150" i="34"/>
  <c r="O151" i="34"/>
  <c r="O152" i="34"/>
  <c r="O153" i="34"/>
  <c r="O154" i="34"/>
  <c r="O155" i="34"/>
  <c r="O156" i="34"/>
  <c r="O157" i="34"/>
  <c r="O158" i="34"/>
  <c r="O159" i="34"/>
  <c r="O160" i="34"/>
  <c r="O161" i="34"/>
  <c r="O162" i="34"/>
  <c r="O163" i="34"/>
  <c r="O164" i="34"/>
  <c r="O165" i="34"/>
  <c r="O166" i="34"/>
  <c r="O167" i="34"/>
  <c r="AB10" i="35"/>
  <c r="M41" i="35" l="1"/>
  <c r="M44" i="35"/>
  <c r="G8" i="35" l="1"/>
  <c r="A48" i="25" l="1"/>
  <c r="A47" i="25"/>
  <c r="A29" i="25"/>
  <c r="AK12" i="35" l="1"/>
  <c r="AK15" i="35"/>
  <c r="AK16" i="35"/>
  <c r="AK17" i="35"/>
  <c r="AK18" i="35"/>
  <c r="AK19" i="35"/>
  <c r="AK21" i="35"/>
  <c r="AK22" i="35"/>
  <c r="AK23" i="35"/>
  <c r="AK24" i="35"/>
  <c r="AK25" i="35"/>
  <c r="AK26" i="35"/>
  <c r="AK28" i="35"/>
  <c r="AK29" i="35"/>
  <c r="AK30" i="35"/>
  <c r="AK31" i="35"/>
  <c r="AK32" i="35"/>
  <c r="AK33" i="35"/>
  <c r="AK34" i="35"/>
  <c r="AK35" i="35"/>
  <c r="AK36" i="35"/>
  <c r="AK37" i="35"/>
  <c r="AK38" i="35"/>
  <c r="AK39" i="35"/>
  <c r="AK40" i="35"/>
  <c r="AK41" i="35"/>
  <c r="AK42" i="35"/>
  <c r="AK43" i="35"/>
  <c r="AK44" i="35"/>
  <c r="AK45" i="35"/>
  <c r="AK46" i="35"/>
  <c r="AK47" i="35"/>
  <c r="AK48" i="35"/>
  <c r="AK49" i="35"/>
  <c r="AK50" i="35"/>
  <c r="AK51" i="35"/>
  <c r="AK52" i="35"/>
  <c r="AK53" i="35"/>
  <c r="AK54" i="35"/>
  <c r="AK55" i="35"/>
  <c r="AK56" i="35"/>
  <c r="AK57" i="35"/>
  <c r="AK58" i="35"/>
  <c r="AK59" i="35"/>
  <c r="AK60" i="35"/>
  <c r="AK61" i="35"/>
  <c r="AK62" i="35"/>
  <c r="AK63" i="35"/>
  <c r="AK64" i="35"/>
  <c r="AK65" i="35"/>
  <c r="AK66" i="35"/>
  <c r="AK67" i="35"/>
  <c r="AK68" i="35"/>
  <c r="AK69" i="35"/>
  <c r="AK70" i="35"/>
  <c r="AK71" i="35"/>
  <c r="AK72" i="35"/>
  <c r="AK73" i="35"/>
  <c r="AK74" i="35"/>
  <c r="AK75" i="35"/>
  <c r="AK76" i="35"/>
  <c r="AK77" i="35"/>
  <c r="AK78" i="35"/>
  <c r="AK79" i="35"/>
  <c r="AK80" i="35"/>
  <c r="AK81" i="35"/>
  <c r="AK82" i="35"/>
  <c r="AK83" i="35"/>
  <c r="AK84" i="35"/>
  <c r="AK85" i="35"/>
  <c r="AK86" i="35"/>
  <c r="AK87" i="35"/>
  <c r="AK88" i="35"/>
  <c r="AK89" i="35"/>
  <c r="AK90" i="35"/>
  <c r="AK91" i="35"/>
  <c r="AK92" i="35"/>
  <c r="AK93" i="35"/>
  <c r="AK94" i="35"/>
  <c r="AK95" i="35"/>
  <c r="AK96" i="35"/>
  <c r="AK97" i="35"/>
  <c r="AK98" i="35"/>
  <c r="AK99" i="35"/>
  <c r="AK100" i="35"/>
  <c r="AK101" i="35"/>
  <c r="AK102" i="35"/>
  <c r="AK103" i="35"/>
  <c r="AK104" i="35"/>
  <c r="AK105" i="35"/>
  <c r="AK106" i="35"/>
  <c r="AK107" i="35"/>
  <c r="AK108" i="35"/>
  <c r="AK109" i="35"/>
  <c r="AK110" i="35"/>
  <c r="AK111" i="35"/>
  <c r="AK112" i="35"/>
  <c r="AK113" i="35"/>
  <c r="AK114" i="35"/>
  <c r="AK115" i="35"/>
  <c r="AK116" i="35"/>
  <c r="AK117" i="35"/>
  <c r="AK118" i="35"/>
  <c r="AK119" i="35"/>
  <c r="AK120" i="35"/>
  <c r="AK121" i="35"/>
  <c r="AK122" i="35"/>
  <c r="AK123" i="35"/>
  <c r="AK124" i="35"/>
  <c r="AK125" i="35"/>
  <c r="AK126" i="35"/>
  <c r="AK127" i="35"/>
  <c r="AK128" i="35"/>
  <c r="AK129" i="35"/>
  <c r="AK130" i="35"/>
  <c r="AK131" i="35"/>
  <c r="AK132" i="35"/>
  <c r="AK133" i="35"/>
  <c r="AK134" i="35"/>
  <c r="AK135" i="35"/>
  <c r="AK136" i="35"/>
  <c r="AK137" i="35"/>
  <c r="AK138" i="35"/>
  <c r="AK139" i="35"/>
  <c r="AK140" i="35"/>
  <c r="AK141" i="35"/>
  <c r="AK142" i="35"/>
  <c r="AK143" i="35"/>
  <c r="AK144" i="35"/>
  <c r="AK145" i="35"/>
  <c r="AK146" i="35"/>
  <c r="AK147" i="35"/>
  <c r="AK148" i="35"/>
  <c r="AK149" i="35"/>
  <c r="AK150" i="35"/>
  <c r="AK151" i="35"/>
  <c r="AK152" i="35"/>
  <c r="AK153" i="35"/>
  <c r="AK154" i="35"/>
  <c r="AK155" i="35"/>
  <c r="AK156" i="35"/>
  <c r="AK157" i="35"/>
  <c r="AK158" i="35"/>
  <c r="AK159" i="35"/>
  <c r="AK160" i="35"/>
  <c r="AK161" i="35"/>
  <c r="AK162" i="35"/>
  <c r="AK163" i="35"/>
  <c r="AK164" i="35"/>
  <c r="AK165" i="35"/>
  <c r="AK166" i="35"/>
  <c r="AK167" i="35"/>
  <c r="AK168" i="35"/>
  <c r="AK169" i="35"/>
  <c r="AK170" i="35"/>
  <c r="AK171" i="35"/>
  <c r="AK172" i="35"/>
  <c r="AK173" i="35"/>
  <c r="AK174" i="35"/>
  <c r="AK175" i="35"/>
  <c r="AK176" i="35"/>
  <c r="AK11" i="35"/>
  <c r="AK13" i="35" l="1"/>
  <c r="AK14" i="35" s="1"/>
  <c r="F23" i="17"/>
  <c r="F18" i="17"/>
  <c r="G18" i="17"/>
  <c r="H18" i="17"/>
  <c r="A25" i="25"/>
  <c r="A26" i="25"/>
  <c r="A20" i="25"/>
  <c r="A21" i="25"/>
  <c r="A14" i="25"/>
  <c r="A15" i="25"/>
  <c r="AK20" i="35" l="1"/>
  <c r="D29" i="25"/>
  <c r="G18" i="25" s="1"/>
  <c r="J8" i="34"/>
  <c r="D25" i="25" s="1"/>
  <c r="G16" i="25" s="1"/>
  <c r="O8" i="33"/>
  <c r="D20" i="25" s="1"/>
  <c r="G13" i="25" s="1"/>
  <c r="N12" i="32"/>
  <c r="D15" i="25" s="1"/>
  <c r="G10" i="25" s="1"/>
  <c r="U22" i="32"/>
  <c r="V22" i="32" s="1"/>
  <c r="AK27" i="35" l="1"/>
  <c r="AM11" i="35" s="1"/>
  <c r="AH11" i="35" s="1" a="1"/>
  <c r="AH11" i="35" s="1"/>
  <c r="T35" i="35" s="1"/>
  <c r="A24" i="25"/>
  <c r="A19" i="25"/>
  <c r="A16" i="25"/>
  <c r="A13" i="25"/>
  <c r="A12" i="25"/>
  <c r="J171" i="33"/>
  <c r="J172" i="33"/>
  <c r="J173" i="33"/>
  <c r="J174" i="33"/>
  <c r="J175" i="33"/>
  <c r="J176" i="33"/>
  <c r="J177" i="33"/>
  <c r="J178" i="33"/>
  <c r="J179" i="33"/>
  <c r="J180" i="33"/>
  <c r="J181" i="33"/>
  <c r="J182" i="33"/>
  <c r="J183" i="33"/>
  <c r="J184" i="33"/>
  <c r="J185" i="33"/>
  <c r="J186" i="33"/>
  <c r="J187" i="33"/>
  <c r="J188" i="33"/>
  <c r="J189" i="33"/>
  <c r="J190" i="33"/>
  <c r="J191" i="33"/>
  <c r="J192" i="33"/>
  <c r="J193" i="33"/>
  <c r="J194" i="33"/>
  <c r="J195" i="33"/>
  <c r="J196" i="33"/>
  <c r="J197" i="33"/>
  <c r="J198" i="33"/>
  <c r="J199" i="33"/>
  <c r="J200" i="33"/>
  <c r="J201" i="33"/>
  <c r="J202" i="33"/>
  <c r="J203" i="33"/>
  <c r="J204" i="33"/>
  <c r="J205" i="33"/>
  <c r="J206" i="33"/>
  <c r="J207" i="33"/>
  <c r="J208" i="33"/>
  <c r="J209" i="33"/>
  <c r="J210" i="33"/>
  <c r="J211" i="33"/>
  <c r="J212" i="33"/>
  <c r="J213" i="33"/>
  <c r="J214" i="33"/>
  <c r="J215" i="33"/>
  <c r="J216" i="33"/>
  <c r="J217" i="33"/>
  <c r="J218" i="33"/>
  <c r="J219" i="33"/>
  <c r="J220" i="33"/>
  <c r="J221" i="33"/>
  <c r="J222" i="33"/>
  <c r="J223" i="33"/>
  <c r="J224" i="33"/>
  <c r="J225" i="33"/>
  <c r="J226" i="33"/>
  <c r="J227" i="33"/>
  <c r="J228" i="33"/>
  <c r="J229" i="33"/>
  <c r="J230" i="33"/>
  <c r="J231" i="33"/>
  <c r="J232" i="33"/>
  <c r="J233" i="33"/>
  <c r="J234" i="33"/>
  <c r="J235" i="33"/>
  <c r="J236" i="33"/>
  <c r="J237" i="33"/>
  <c r="J238" i="33"/>
  <c r="J239" i="33"/>
  <c r="J240" i="33"/>
  <c r="J241" i="33"/>
  <c r="J242" i="33"/>
  <c r="J243" i="33"/>
  <c r="J244" i="33"/>
  <c r="J245" i="33"/>
  <c r="J246" i="33"/>
  <c r="J247" i="33"/>
  <c r="J248" i="33"/>
  <c r="J249" i="33"/>
  <c r="J250" i="33"/>
  <c r="J251" i="33"/>
  <c r="J252" i="33"/>
  <c r="J253" i="33"/>
  <c r="J254" i="33"/>
  <c r="J255" i="33"/>
  <c r="J256" i="33"/>
  <c r="J257" i="33"/>
  <c r="J258" i="33"/>
  <c r="J259" i="33"/>
  <c r="J260" i="33"/>
  <c r="J261" i="33"/>
  <c r="J262" i="33"/>
  <c r="J263" i="33"/>
  <c r="J264" i="33"/>
  <c r="J265" i="33"/>
  <c r="J266" i="33"/>
  <c r="J267" i="33"/>
  <c r="J268" i="33"/>
  <c r="J269" i="33"/>
  <c r="J270" i="33"/>
  <c r="J271" i="33"/>
  <c r="J272" i="33"/>
  <c r="J273" i="33"/>
  <c r="J274" i="33"/>
  <c r="J275" i="33"/>
  <c r="J276" i="33"/>
  <c r="J277" i="33"/>
  <c r="J278" i="33"/>
  <c r="J279" i="33"/>
  <c r="J280" i="33"/>
  <c r="J281" i="33"/>
  <c r="J282" i="33"/>
  <c r="J283" i="33"/>
  <c r="J284" i="33"/>
  <c r="J285" i="33"/>
  <c r="J286" i="33"/>
  <c r="J287" i="33"/>
  <c r="J288" i="33"/>
  <c r="J289" i="33"/>
  <c r="J290" i="33"/>
  <c r="J291" i="33"/>
  <c r="J292" i="33"/>
  <c r="J293" i="33"/>
  <c r="J294" i="33"/>
  <c r="J295" i="33"/>
  <c r="J296" i="33"/>
  <c r="J297" i="33"/>
  <c r="J298" i="33"/>
  <c r="J299" i="33"/>
  <c r="J300" i="33"/>
  <c r="J301" i="33"/>
  <c r="J302" i="33"/>
  <c r="J303" i="33"/>
  <c r="J304" i="33"/>
  <c r="J305" i="33"/>
  <c r="J306" i="33"/>
  <c r="J307" i="33"/>
  <c r="J308" i="33"/>
  <c r="J309" i="33"/>
  <c r="J310" i="33"/>
  <c r="J311" i="33"/>
  <c r="J312" i="33"/>
  <c r="J313" i="33"/>
  <c r="J314" i="33"/>
  <c r="J315" i="33"/>
  <c r="J316" i="33"/>
  <c r="J317" i="33"/>
  <c r="J318" i="33"/>
  <c r="J319" i="33"/>
  <c r="J170" i="33"/>
  <c r="E171" i="33"/>
  <c r="E172" i="33"/>
  <c r="E173" i="33"/>
  <c r="E174" i="33"/>
  <c r="E175" i="33"/>
  <c r="E176" i="33"/>
  <c r="E177" i="33"/>
  <c r="E178" i="33"/>
  <c r="E179" i="33"/>
  <c r="E180" i="33"/>
  <c r="E181" i="33"/>
  <c r="E182" i="33"/>
  <c r="E183" i="33"/>
  <c r="E184" i="33"/>
  <c r="E185" i="33"/>
  <c r="E186" i="33"/>
  <c r="E187" i="33"/>
  <c r="E188" i="33"/>
  <c r="E189" i="33"/>
  <c r="E190" i="33"/>
  <c r="E191" i="33"/>
  <c r="E192" i="33"/>
  <c r="E193" i="33"/>
  <c r="E194" i="33"/>
  <c r="E195" i="33"/>
  <c r="E196" i="33"/>
  <c r="E197" i="33"/>
  <c r="E198" i="33"/>
  <c r="E199" i="33"/>
  <c r="E200" i="33"/>
  <c r="E201" i="33"/>
  <c r="E202" i="33"/>
  <c r="E203" i="33"/>
  <c r="E204" i="33"/>
  <c r="E205" i="33"/>
  <c r="E206" i="33"/>
  <c r="E207" i="33"/>
  <c r="E208" i="33"/>
  <c r="E209" i="33"/>
  <c r="E210" i="33"/>
  <c r="E211" i="33"/>
  <c r="E212" i="33"/>
  <c r="E213" i="33"/>
  <c r="E214" i="33"/>
  <c r="E215" i="33"/>
  <c r="E216" i="33"/>
  <c r="E217" i="33"/>
  <c r="E218" i="33"/>
  <c r="E219" i="33"/>
  <c r="E220" i="33"/>
  <c r="E221" i="33"/>
  <c r="E222" i="33"/>
  <c r="E223" i="33"/>
  <c r="E224" i="33"/>
  <c r="E225" i="33"/>
  <c r="E226" i="33"/>
  <c r="E227" i="33"/>
  <c r="E228" i="33"/>
  <c r="E229" i="33"/>
  <c r="E230" i="33"/>
  <c r="E231" i="33"/>
  <c r="E232" i="33"/>
  <c r="E233" i="33"/>
  <c r="E234" i="33"/>
  <c r="E235" i="33"/>
  <c r="E236" i="33"/>
  <c r="E237" i="33"/>
  <c r="E238" i="33"/>
  <c r="E239" i="33"/>
  <c r="E240" i="33"/>
  <c r="E241" i="33"/>
  <c r="E242" i="33"/>
  <c r="E243" i="33"/>
  <c r="E244" i="33"/>
  <c r="E245" i="33"/>
  <c r="E246" i="33"/>
  <c r="E247" i="33"/>
  <c r="E248" i="33"/>
  <c r="E249" i="33"/>
  <c r="E250" i="33"/>
  <c r="E251" i="33"/>
  <c r="E252" i="33"/>
  <c r="E253" i="33"/>
  <c r="E254" i="33"/>
  <c r="E255" i="33"/>
  <c r="E256" i="33"/>
  <c r="E257" i="33"/>
  <c r="E258" i="33"/>
  <c r="E259" i="33"/>
  <c r="E260" i="33"/>
  <c r="E261" i="33"/>
  <c r="E262" i="33"/>
  <c r="E263" i="33"/>
  <c r="E264" i="33"/>
  <c r="E265" i="33"/>
  <c r="E266" i="33"/>
  <c r="E267" i="33"/>
  <c r="E268" i="33"/>
  <c r="E269" i="33"/>
  <c r="E270" i="33"/>
  <c r="E271" i="33"/>
  <c r="E272" i="33"/>
  <c r="E273" i="33"/>
  <c r="E274" i="33"/>
  <c r="E275" i="33"/>
  <c r="E276" i="33"/>
  <c r="E277" i="33"/>
  <c r="E278" i="33"/>
  <c r="E279" i="33"/>
  <c r="E280" i="33"/>
  <c r="E281" i="33"/>
  <c r="E282" i="33"/>
  <c r="E283" i="33"/>
  <c r="E284" i="33"/>
  <c r="E285" i="33"/>
  <c r="E286" i="33"/>
  <c r="E287" i="33"/>
  <c r="E288" i="33"/>
  <c r="E289" i="33"/>
  <c r="E290" i="33"/>
  <c r="E291" i="33"/>
  <c r="E292" i="33"/>
  <c r="E293" i="33"/>
  <c r="E294" i="33"/>
  <c r="E295" i="33"/>
  <c r="E296" i="33"/>
  <c r="E297" i="33"/>
  <c r="E298" i="33"/>
  <c r="E299" i="33"/>
  <c r="E300" i="33"/>
  <c r="E301" i="33"/>
  <c r="E302" i="33"/>
  <c r="E303" i="33"/>
  <c r="E304" i="33"/>
  <c r="E305" i="33"/>
  <c r="E306" i="33"/>
  <c r="E307" i="33"/>
  <c r="E308" i="33"/>
  <c r="E309" i="33"/>
  <c r="E310" i="33"/>
  <c r="E311" i="33"/>
  <c r="E312" i="33"/>
  <c r="E313" i="33"/>
  <c r="E314" i="33"/>
  <c r="E315" i="33"/>
  <c r="E316" i="33"/>
  <c r="E317" i="33"/>
  <c r="E318" i="33"/>
  <c r="E319" i="33"/>
  <c r="E170" i="33"/>
  <c r="F171" i="33"/>
  <c r="F172" i="33"/>
  <c r="F173" i="33"/>
  <c r="F174" i="33"/>
  <c r="F175" i="33"/>
  <c r="F176" i="33"/>
  <c r="F177" i="33"/>
  <c r="F178" i="33"/>
  <c r="F179" i="33"/>
  <c r="F180" i="33"/>
  <c r="F181" i="33"/>
  <c r="F182" i="33"/>
  <c r="F183" i="33"/>
  <c r="F184" i="33"/>
  <c r="F185" i="33"/>
  <c r="F186" i="33"/>
  <c r="F187" i="33"/>
  <c r="F188" i="33"/>
  <c r="F189" i="33"/>
  <c r="F190" i="33"/>
  <c r="F191" i="33"/>
  <c r="F192" i="33"/>
  <c r="F193" i="33"/>
  <c r="F194" i="33"/>
  <c r="F195" i="33"/>
  <c r="F196" i="33"/>
  <c r="F197" i="33"/>
  <c r="F198" i="33"/>
  <c r="F199" i="33"/>
  <c r="F200" i="33"/>
  <c r="F201" i="33"/>
  <c r="F202" i="33"/>
  <c r="F203" i="33"/>
  <c r="F204" i="33"/>
  <c r="F205" i="33"/>
  <c r="F206" i="33"/>
  <c r="F207" i="33"/>
  <c r="F208" i="33"/>
  <c r="F209" i="33"/>
  <c r="F210" i="33"/>
  <c r="F211" i="33"/>
  <c r="F212" i="33"/>
  <c r="F213" i="33"/>
  <c r="F214" i="33"/>
  <c r="F215" i="33"/>
  <c r="F216" i="33"/>
  <c r="F217" i="33"/>
  <c r="F218" i="33"/>
  <c r="F219" i="33"/>
  <c r="F220" i="33"/>
  <c r="F221" i="33"/>
  <c r="F222" i="33"/>
  <c r="F223" i="33"/>
  <c r="F224" i="33"/>
  <c r="F225" i="33"/>
  <c r="F226" i="33"/>
  <c r="F227" i="33"/>
  <c r="F228" i="33"/>
  <c r="F229" i="33"/>
  <c r="F230" i="33"/>
  <c r="F231" i="33"/>
  <c r="F232" i="33"/>
  <c r="F233" i="33"/>
  <c r="F234" i="33"/>
  <c r="F235" i="33"/>
  <c r="F236" i="33"/>
  <c r="F237" i="33"/>
  <c r="F238" i="33"/>
  <c r="F239" i="33"/>
  <c r="F240" i="33"/>
  <c r="F241" i="33"/>
  <c r="F242" i="33"/>
  <c r="F243" i="33"/>
  <c r="F244" i="33"/>
  <c r="F245" i="33"/>
  <c r="F246" i="33"/>
  <c r="F247" i="33"/>
  <c r="F248" i="33"/>
  <c r="F249" i="33"/>
  <c r="F250" i="33"/>
  <c r="F251" i="33"/>
  <c r="F252" i="33"/>
  <c r="F253" i="33"/>
  <c r="F254" i="33"/>
  <c r="F255" i="33"/>
  <c r="F256" i="33"/>
  <c r="F257" i="33"/>
  <c r="F258" i="33"/>
  <c r="F259" i="33"/>
  <c r="F260" i="33"/>
  <c r="F261" i="33"/>
  <c r="F262" i="33"/>
  <c r="F263" i="33"/>
  <c r="F264" i="33"/>
  <c r="F265" i="33"/>
  <c r="F266" i="33"/>
  <c r="F267" i="33"/>
  <c r="F268" i="33"/>
  <c r="F269" i="33"/>
  <c r="F270" i="33"/>
  <c r="F271" i="33"/>
  <c r="F272" i="33"/>
  <c r="F273" i="33"/>
  <c r="F274" i="33"/>
  <c r="F275" i="33"/>
  <c r="F276" i="33"/>
  <c r="F277" i="33"/>
  <c r="F278" i="33"/>
  <c r="F279" i="33"/>
  <c r="F280" i="33"/>
  <c r="F281" i="33"/>
  <c r="F282" i="33"/>
  <c r="F283" i="33"/>
  <c r="F284" i="33"/>
  <c r="F285" i="33"/>
  <c r="F286" i="33"/>
  <c r="F287" i="33"/>
  <c r="F288" i="33"/>
  <c r="F289" i="33"/>
  <c r="F290" i="33"/>
  <c r="F291" i="33"/>
  <c r="F292" i="33"/>
  <c r="F293" i="33"/>
  <c r="F294" i="33"/>
  <c r="F295" i="33"/>
  <c r="F296" i="33"/>
  <c r="F297" i="33"/>
  <c r="F298" i="33"/>
  <c r="F299" i="33"/>
  <c r="F300" i="33"/>
  <c r="F301" i="33"/>
  <c r="F302" i="33"/>
  <c r="F303" i="33"/>
  <c r="F304" i="33"/>
  <c r="F305" i="33"/>
  <c r="F306" i="33"/>
  <c r="F307" i="33"/>
  <c r="F308" i="33"/>
  <c r="F309" i="33"/>
  <c r="F310" i="33"/>
  <c r="F311" i="33"/>
  <c r="F312" i="33"/>
  <c r="F313" i="33"/>
  <c r="F314" i="33"/>
  <c r="F315" i="33"/>
  <c r="F316" i="33"/>
  <c r="F317" i="33"/>
  <c r="F318" i="33"/>
  <c r="F319" i="33"/>
  <c r="F170" i="33"/>
  <c r="I7" i="14"/>
  <c r="D37" i="25" s="1"/>
  <c r="G22" i="25" s="1"/>
  <c r="J6" i="5"/>
  <c r="D32" i="25" s="1"/>
  <c r="G19" i="25" s="1"/>
  <c r="J7" i="5"/>
  <c r="D33" i="25" s="1"/>
  <c r="G20" i="25" s="1"/>
  <c r="B4" i="35"/>
  <c r="B3" i="35"/>
  <c r="O56" i="35"/>
  <c r="AI10" i="35"/>
  <c r="L33" i="35"/>
  <c r="L57" i="35"/>
  <c r="L56" i="35"/>
  <c r="M54" i="35"/>
  <c r="M55" i="35"/>
  <c r="M25" i="35"/>
  <c r="L25" i="35" s="1"/>
  <c r="M27" i="35"/>
  <c r="L27" i="35" s="1"/>
  <c r="M29" i="35"/>
  <c r="L29" i="35" s="1"/>
  <c r="A4" i="34"/>
  <c r="P22" i="34"/>
  <c r="P23" i="34"/>
  <c r="P24" i="34"/>
  <c r="P25" i="34"/>
  <c r="P26" i="34"/>
  <c r="P27" i="34"/>
  <c r="P28" i="34"/>
  <c r="P29" i="34"/>
  <c r="P30" i="34"/>
  <c r="P31" i="34"/>
  <c r="P32" i="34"/>
  <c r="P33" i="34"/>
  <c r="P34" i="34"/>
  <c r="P35" i="34"/>
  <c r="P36" i="34"/>
  <c r="P37" i="34"/>
  <c r="P38" i="34"/>
  <c r="P39" i="34"/>
  <c r="P40" i="34"/>
  <c r="P41" i="34"/>
  <c r="P42" i="34"/>
  <c r="P43" i="34"/>
  <c r="P44" i="34"/>
  <c r="P45" i="34"/>
  <c r="P46" i="34"/>
  <c r="P47" i="34"/>
  <c r="P48" i="34"/>
  <c r="P49" i="34"/>
  <c r="P50" i="34"/>
  <c r="P51" i="34"/>
  <c r="P52" i="34"/>
  <c r="P53" i="34"/>
  <c r="P54" i="34"/>
  <c r="P55" i="34"/>
  <c r="P56" i="34"/>
  <c r="P57" i="34"/>
  <c r="P58" i="34"/>
  <c r="P59" i="34"/>
  <c r="P60" i="34"/>
  <c r="P61" i="34"/>
  <c r="P62" i="34"/>
  <c r="P63" i="34"/>
  <c r="P64" i="34"/>
  <c r="P65" i="34"/>
  <c r="P66" i="34"/>
  <c r="P67" i="34"/>
  <c r="P68" i="34"/>
  <c r="P69" i="34"/>
  <c r="P70" i="34"/>
  <c r="P71" i="34"/>
  <c r="P72" i="34"/>
  <c r="P73" i="34"/>
  <c r="P74" i="34"/>
  <c r="P75" i="34"/>
  <c r="P76" i="34"/>
  <c r="P77" i="34"/>
  <c r="P78" i="34"/>
  <c r="P79" i="34"/>
  <c r="P80" i="34"/>
  <c r="P81" i="34"/>
  <c r="P82" i="34"/>
  <c r="P83" i="34"/>
  <c r="P84" i="34"/>
  <c r="P85" i="34"/>
  <c r="P86" i="34"/>
  <c r="P87" i="34"/>
  <c r="P88" i="34"/>
  <c r="P89" i="34"/>
  <c r="P90" i="34"/>
  <c r="P91" i="34"/>
  <c r="P92" i="34"/>
  <c r="P93" i="34"/>
  <c r="P94" i="34"/>
  <c r="P95" i="34"/>
  <c r="P96" i="34"/>
  <c r="P97" i="34"/>
  <c r="P98" i="34"/>
  <c r="P99" i="34"/>
  <c r="P100" i="34"/>
  <c r="P101" i="34"/>
  <c r="P102" i="34"/>
  <c r="P103" i="34"/>
  <c r="P104" i="34"/>
  <c r="P105" i="34"/>
  <c r="P106" i="34"/>
  <c r="P107" i="34"/>
  <c r="P108" i="34"/>
  <c r="P109" i="34"/>
  <c r="P110" i="34"/>
  <c r="P111" i="34"/>
  <c r="P112" i="34"/>
  <c r="P113" i="34"/>
  <c r="P114" i="34"/>
  <c r="P115" i="34"/>
  <c r="P116" i="34"/>
  <c r="P117" i="34"/>
  <c r="P118" i="34"/>
  <c r="P119" i="34"/>
  <c r="P120" i="34"/>
  <c r="P121" i="34"/>
  <c r="P122" i="34"/>
  <c r="P123" i="34"/>
  <c r="P124" i="34"/>
  <c r="P125" i="34"/>
  <c r="P126" i="34"/>
  <c r="P127" i="34"/>
  <c r="P128" i="34"/>
  <c r="P129" i="34"/>
  <c r="P130" i="34"/>
  <c r="P131" i="34"/>
  <c r="P132" i="34"/>
  <c r="P133" i="34"/>
  <c r="P134" i="34"/>
  <c r="P135" i="34"/>
  <c r="P136" i="34"/>
  <c r="P137" i="34"/>
  <c r="P138" i="34"/>
  <c r="P139" i="34"/>
  <c r="P140" i="34"/>
  <c r="P141" i="34"/>
  <c r="P142" i="34"/>
  <c r="P143" i="34"/>
  <c r="P144" i="34"/>
  <c r="P145" i="34"/>
  <c r="P146" i="34"/>
  <c r="P147" i="34"/>
  <c r="P148" i="34"/>
  <c r="P149" i="34"/>
  <c r="P150" i="34"/>
  <c r="P151" i="34"/>
  <c r="P152" i="34"/>
  <c r="P153" i="34"/>
  <c r="P154" i="34"/>
  <c r="P155" i="34"/>
  <c r="P156" i="34"/>
  <c r="P157" i="34"/>
  <c r="P158" i="34"/>
  <c r="P159" i="34"/>
  <c r="P160" i="34"/>
  <c r="P161" i="34"/>
  <c r="P162" i="34"/>
  <c r="P163" i="34"/>
  <c r="P164" i="34"/>
  <c r="P165" i="34"/>
  <c r="P166" i="34"/>
  <c r="P167" i="34"/>
  <c r="M19" i="34"/>
  <c r="N19" i="34" s="1"/>
  <c r="M20" i="34"/>
  <c r="N20" i="34" s="1"/>
  <c r="M21" i="34"/>
  <c r="N21" i="34" s="1"/>
  <c r="M22" i="34"/>
  <c r="N22" i="34" s="1"/>
  <c r="M23" i="34"/>
  <c r="N23" i="34" s="1"/>
  <c r="M24" i="34"/>
  <c r="N24" i="34" s="1"/>
  <c r="M25" i="34"/>
  <c r="N25" i="34" s="1"/>
  <c r="M26" i="34"/>
  <c r="N26" i="34" s="1"/>
  <c r="M27" i="34"/>
  <c r="N27" i="34" s="1"/>
  <c r="M28" i="34"/>
  <c r="N28" i="34" s="1"/>
  <c r="M29" i="34"/>
  <c r="N29" i="34" s="1"/>
  <c r="M30" i="34"/>
  <c r="N30" i="34" s="1"/>
  <c r="M31" i="34"/>
  <c r="N31" i="34" s="1"/>
  <c r="M32" i="34"/>
  <c r="N32" i="34" s="1"/>
  <c r="M33" i="34"/>
  <c r="N33" i="34" s="1"/>
  <c r="M34" i="34"/>
  <c r="N34" i="34" s="1"/>
  <c r="M35" i="34"/>
  <c r="N35" i="34" s="1"/>
  <c r="M36" i="34"/>
  <c r="N36" i="34" s="1"/>
  <c r="M37" i="34"/>
  <c r="N37" i="34" s="1"/>
  <c r="M38" i="34"/>
  <c r="N38" i="34" s="1"/>
  <c r="M39" i="34"/>
  <c r="N39" i="34" s="1"/>
  <c r="M40" i="34"/>
  <c r="N40" i="34" s="1"/>
  <c r="M41" i="34"/>
  <c r="N41" i="34" s="1"/>
  <c r="M42" i="34"/>
  <c r="N42" i="34" s="1"/>
  <c r="M43" i="34"/>
  <c r="N43" i="34" s="1"/>
  <c r="M44" i="34"/>
  <c r="N44" i="34" s="1"/>
  <c r="M45" i="34"/>
  <c r="N45" i="34" s="1"/>
  <c r="M46" i="34"/>
  <c r="N46" i="34" s="1"/>
  <c r="M47" i="34"/>
  <c r="N47" i="34" s="1"/>
  <c r="M48" i="34"/>
  <c r="N48" i="34" s="1"/>
  <c r="M49" i="34"/>
  <c r="N49" i="34" s="1"/>
  <c r="M50" i="34"/>
  <c r="N50" i="34" s="1"/>
  <c r="M51" i="34"/>
  <c r="N51" i="34" s="1"/>
  <c r="M52" i="34"/>
  <c r="N52" i="34" s="1"/>
  <c r="M53" i="34"/>
  <c r="N53" i="34" s="1"/>
  <c r="M54" i="34"/>
  <c r="N54" i="34" s="1"/>
  <c r="M55" i="34"/>
  <c r="N55" i="34" s="1"/>
  <c r="M56" i="34"/>
  <c r="N56" i="34" s="1"/>
  <c r="M57" i="34"/>
  <c r="N57" i="34" s="1"/>
  <c r="M58" i="34"/>
  <c r="N58" i="34" s="1"/>
  <c r="M59" i="34"/>
  <c r="N59" i="34" s="1"/>
  <c r="M60" i="34"/>
  <c r="N60" i="34" s="1"/>
  <c r="M61" i="34"/>
  <c r="N61" i="34" s="1"/>
  <c r="M62" i="34"/>
  <c r="N62" i="34" s="1"/>
  <c r="M63" i="34"/>
  <c r="N63" i="34" s="1"/>
  <c r="M64" i="34"/>
  <c r="N64" i="34" s="1"/>
  <c r="M65" i="34"/>
  <c r="N65" i="34" s="1"/>
  <c r="M66" i="34"/>
  <c r="N66" i="34" s="1"/>
  <c r="M67" i="34"/>
  <c r="N67" i="34" s="1"/>
  <c r="M68" i="34"/>
  <c r="N68" i="34" s="1"/>
  <c r="M69" i="34"/>
  <c r="N69" i="34" s="1"/>
  <c r="M70" i="34"/>
  <c r="N70" i="34" s="1"/>
  <c r="M71" i="34"/>
  <c r="N71" i="34" s="1"/>
  <c r="M72" i="34"/>
  <c r="N72" i="34" s="1"/>
  <c r="M73" i="34"/>
  <c r="N73" i="34" s="1"/>
  <c r="M74" i="34"/>
  <c r="N74" i="34" s="1"/>
  <c r="M75" i="34"/>
  <c r="N75" i="34" s="1"/>
  <c r="M76" i="34"/>
  <c r="N76" i="34" s="1"/>
  <c r="M77" i="34"/>
  <c r="N77" i="34" s="1"/>
  <c r="M78" i="34"/>
  <c r="N78" i="34" s="1"/>
  <c r="M79" i="34"/>
  <c r="N79" i="34" s="1"/>
  <c r="M80" i="34"/>
  <c r="N80" i="34" s="1"/>
  <c r="M81" i="34"/>
  <c r="N81" i="34" s="1"/>
  <c r="M82" i="34"/>
  <c r="N82" i="34" s="1"/>
  <c r="M83" i="34"/>
  <c r="N83" i="34" s="1"/>
  <c r="M84" i="34"/>
  <c r="N84" i="34" s="1"/>
  <c r="M85" i="34"/>
  <c r="N85" i="34" s="1"/>
  <c r="M86" i="34"/>
  <c r="N86" i="34" s="1"/>
  <c r="M87" i="34"/>
  <c r="N87" i="34" s="1"/>
  <c r="M88" i="34"/>
  <c r="N88" i="34" s="1"/>
  <c r="M89" i="34"/>
  <c r="N89" i="34" s="1"/>
  <c r="M90" i="34"/>
  <c r="N90" i="34" s="1"/>
  <c r="M91" i="34"/>
  <c r="N91" i="34" s="1"/>
  <c r="M92" i="34"/>
  <c r="N92" i="34" s="1"/>
  <c r="M93" i="34"/>
  <c r="N93" i="34" s="1"/>
  <c r="M94" i="34"/>
  <c r="N94" i="34" s="1"/>
  <c r="M95" i="34"/>
  <c r="N95" i="34" s="1"/>
  <c r="M96" i="34"/>
  <c r="N96" i="34" s="1"/>
  <c r="M97" i="34"/>
  <c r="N97" i="34" s="1"/>
  <c r="M98" i="34"/>
  <c r="N98" i="34" s="1"/>
  <c r="M99" i="34"/>
  <c r="N99" i="34" s="1"/>
  <c r="M100" i="34"/>
  <c r="N100" i="34" s="1"/>
  <c r="M101" i="34"/>
  <c r="N101" i="34" s="1"/>
  <c r="M102" i="34"/>
  <c r="N102" i="34" s="1"/>
  <c r="M103" i="34"/>
  <c r="N103" i="34" s="1"/>
  <c r="M104" i="34"/>
  <c r="N104" i="34" s="1"/>
  <c r="M105" i="34"/>
  <c r="N105" i="34" s="1"/>
  <c r="M106" i="34"/>
  <c r="N106" i="34" s="1"/>
  <c r="M107" i="34"/>
  <c r="N107" i="34" s="1"/>
  <c r="M108" i="34"/>
  <c r="N108" i="34" s="1"/>
  <c r="M109" i="34"/>
  <c r="N109" i="34" s="1"/>
  <c r="M110" i="34"/>
  <c r="N110" i="34" s="1"/>
  <c r="M111" i="34"/>
  <c r="N111" i="34" s="1"/>
  <c r="M112" i="34"/>
  <c r="N112" i="34" s="1"/>
  <c r="M113" i="34"/>
  <c r="N113" i="34" s="1"/>
  <c r="M114" i="34"/>
  <c r="N114" i="34" s="1"/>
  <c r="M115" i="34"/>
  <c r="N115" i="34" s="1"/>
  <c r="M116" i="34"/>
  <c r="N116" i="34" s="1"/>
  <c r="M117" i="34"/>
  <c r="N117" i="34" s="1"/>
  <c r="M118" i="34"/>
  <c r="N118" i="34" s="1"/>
  <c r="M119" i="34"/>
  <c r="N119" i="34" s="1"/>
  <c r="M120" i="34"/>
  <c r="N120" i="34" s="1"/>
  <c r="M121" i="34"/>
  <c r="N121" i="34" s="1"/>
  <c r="M122" i="34"/>
  <c r="N122" i="34" s="1"/>
  <c r="M123" i="34"/>
  <c r="N123" i="34" s="1"/>
  <c r="M124" i="34"/>
  <c r="N124" i="34" s="1"/>
  <c r="M125" i="34"/>
  <c r="N125" i="34" s="1"/>
  <c r="M126" i="34"/>
  <c r="N126" i="34" s="1"/>
  <c r="M127" i="34"/>
  <c r="N127" i="34" s="1"/>
  <c r="M128" i="34"/>
  <c r="N128" i="34" s="1"/>
  <c r="M129" i="34"/>
  <c r="N129" i="34" s="1"/>
  <c r="M130" i="34"/>
  <c r="N130" i="34" s="1"/>
  <c r="M131" i="34"/>
  <c r="N131" i="34" s="1"/>
  <c r="M132" i="34"/>
  <c r="N132" i="34" s="1"/>
  <c r="M133" i="34"/>
  <c r="N133" i="34" s="1"/>
  <c r="M134" i="34"/>
  <c r="N134" i="34" s="1"/>
  <c r="M135" i="34"/>
  <c r="N135" i="34" s="1"/>
  <c r="M136" i="34"/>
  <c r="N136" i="34" s="1"/>
  <c r="M137" i="34"/>
  <c r="N137" i="34" s="1"/>
  <c r="M138" i="34"/>
  <c r="N138" i="34" s="1"/>
  <c r="M139" i="34"/>
  <c r="N139" i="34" s="1"/>
  <c r="M140" i="34"/>
  <c r="N140" i="34" s="1"/>
  <c r="M141" i="34"/>
  <c r="N141" i="34" s="1"/>
  <c r="M142" i="34"/>
  <c r="N142" i="34" s="1"/>
  <c r="M143" i="34"/>
  <c r="N143" i="34" s="1"/>
  <c r="M144" i="34"/>
  <c r="N144" i="34" s="1"/>
  <c r="M145" i="34"/>
  <c r="N145" i="34" s="1"/>
  <c r="M146" i="34"/>
  <c r="N146" i="34" s="1"/>
  <c r="M147" i="34"/>
  <c r="N147" i="34" s="1"/>
  <c r="M148" i="34"/>
  <c r="N148" i="34" s="1"/>
  <c r="M149" i="34"/>
  <c r="N149" i="34" s="1"/>
  <c r="M150" i="34"/>
  <c r="N150" i="34" s="1"/>
  <c r="M151" i="34"/>
  <c r="N151" i="34" s="1"/>
  <c r="M152" i="34"/>
  <c r="N152" i="34" s="1"/>
  <c r="M153" i="34"/>
  <c r="N153" i="34" s="1"/>
  <c r="M154" i="34"/>
  <c r="N154" i="34" s="1"/>
  <c r="M155" i="34"/>
  <c r="N155" i="34" s="1"/>
  <c r="M156" i="34"/>
  <c r="N156" i="34" s="1"/>
  <c r="M157" i="34"/>
  <c r="N157" i="34" s="1"/>
  <c r="M158" i="34"/>
  <c r="N158" i="34" s="1"/>
  <c r="M159" i="34"/>
  <c r="N159" i="34" s="1"/>
  <c r="M160" i="34"/>
  <c r="N160" i="34" s="1"/>
  <c r="M161" i="34"/>
  <c r="N161" i="34" s="1"/>
  <c r="M162" i="34"/>
  <c r="N162" i="34" s="1"/>
  <c r="M163" i="34"/>
  <c r="N163" i="34" s="1"/>
  <c r="M164" i="34"/>
  <c r="N164" i="34" s="1"/>
  <c r="M165" i="34"/>
  <c r="N165" i="34" s="1"/>
  <c r="M166" i="34"/>
  <c r="N166" i="34" s="1"/>
  <c r="M167" i="34"/>
  <c r="N167" i="34" s="1"/>
  <c r="M18" i="34"/>
  <c r="N18" i="34" s="1"/>
  <c r="A4" i="33"/>
  <c r="P170" i="33"/>
  <c r="P171" i="33"/>
  <c r="P172" i="33"/>
  <c r="P173" i="33"/>
  <c r="P174" i="33"/>
  <c r="P175" i="33"/>
  <c r="P176" i="33"/>
  <c r="P177" i="33"/>
  <c r="P178" i="33"/>
  <c r="P179" i="33"/>
  <c r="P180" i="33"/>
  <c r="P181" i="33"/>
  <c r="P182" i="33"/>
  <c r="P183" i="33"/>
  <c r="P184" i="33"/>
  <c r="P185" i="33"/>
  <c r="P186" i="33"/>
  <c r="P187" i="33"/>
  <c r="P188" i="33"/>
  <c r="P189" i="33"/>
  <c r="P190" i="33"/>
  <c r="P191" i="33"/>
  <c r="P192" i="33"/>
  <c r="P193" i="33"/>
  <c r="P194" i="33"/>
  <c r="P195" i="33"/>
  <c r="P196" i="33"/>
  <c r="P197" i="33"/>
  <c r="P198" i="33"/>
  <c r="P199" i="33"/>
  <c r="P200" i="33"/>
  <c r="P201" i="33"/>
  <c r="P202" i="33"/>
  <c r="P203" i="33"/>
  <c r="P204" i="33"/>
  <c r="P205" i="33"/>
  <c r="P206" i="33"/>
  <c r="P207" i="33"/>
  <c r="P208" i="33"/>
  <c r="P209" i="33"/>
  <c r="P210" i="33"/>
  <c r="P211" i="33"/>
  <c r="P212" i="33"/>
  <c r="P213" i="33"/>
  <c r="P214" i="33"/>
  <c r="P215" i="33"/>
  <c r="P216" i="33"/>
  <c r="P217" i="33"/>
  <c r="P218" i="33"/>
  <c r="P219" i="33"/>
  <c r="P220" i="33"/>
  <c r="P221" i="33"/>
  <c r="P222" i="33"/>
  <c r="P223" i="33"/>
  <c r="P224" i="33"/>
  <c r="P225" i="33"/>
  <c r="P226" i="33"/>
  <c r="P227" i="33"/>
  <c r="P228" i="33"/>
  <c r="P229" i="33"/>
  <c r="P230" i="33"/>
  <c r="P231" i="33"/>
  <c r="P232" i="33"/>
  <c r="P233" i="33"/>
  <c r="P234" i="33"/>
  <c r="P235" i="33"/>
  <c r="P250" i="33"/>
  <c r="P266" i="33"/>
  <c r="P282" i="33"/>
  <c r="P298" i="33"/>
  <c r="P299" i="33"/>
  <c r="P314" i="33"/>
  <c r="N9" i="32"/>
  <c r="D12" i="25" s="1"/>
  <c r="G7" i="25" s="1"/>
  <c r="W22" i="32"/>
  <c r="X170" i="33" s="1"/>
  <c r="P19" i="33" l="1"/>
  <c r="P20" i="33"/>
  <c r="P22" i="33"/>
  <c r="P24" i="33"/>
  <c r="P26" i="33"/>
  <c r="P28" i="33"/>
  <c r="P30" i="33"/>
  <c r="P32" i="33"/>
  <c r="P34" i="33"/>
  <c r="P36" i="33"/>
  <c r="P38" i="33"/>
  <c r="P40" i="33"/>
  <c r="P42" i="33"/>
  <c r="P44" i="33"/>
  <c r="P46" i="33"/>
  <c r="P48" i="33"/>
  <c r="P50" i="33"/>
  <c r="P52" i="33"/>
  <c r="P54" i="33"/>
  <c r="P56" i="33"/>
  <c r="P58" i="33"/>
  <c r="P60" i="33"/>
  <c r="P62" i="33"/>
  <c r="P64" i="33"/>
  <c r="P66" i="33"/>
  <c r="P68" i="33"/>
  <c r="P70" i="33"/>
  <c r="P72" i="33"/>
  <c r="P74" i="33"/>
  <c r="P76" i="33"/>
  <c r="P78" i="33"/>
  <c r="P80" i="33"/>
  <c r="P82" i="33"/>
  <c r="P84" i="33"/>
  <c r="P86" i="33"/>
  <c r="P88" i="33"/>
  <c r="P90" i="33"/>
  <c r="P92" i="33"/>
  <c r="P94" i="33"/>
  <c r="P96" i="33"/>
  <c r="P98" i="33"/>
  <c r="P100" i="33"/>
  <c r="P102" i="33"/>
  <c r="P104" i="33"/>
  <c r="P106" i="33"/>
  <c r="P108" i="33"/>
  <c r="P110" i="33"/>
  <c r="P112" i="33"/>
  <c r="P114" i="33"/>
  <c r="P116" i="33"/>
  <c r="P118" i="33"/>
  <c r="P120" i="33"/>
  <c r="P122" i="33"/>
  <c r="P124" i="33"/>
  <c r="P126" i="33"/>
  <c r="P128" i="33"/>
  <c r="P130" i="33"/>
  <c r="P132" i="33"/>
  <c r="P134" i="33"/>
  <c r="P136" i="33"/>
  <c r="P138" i="33"/>
  <c r="P140" i="33"/>
  <c r="P142" i="33"/>
  <c r="P144" i="33"/>
  <c r="P146" i="33"/>
  <c r="P148" i="33"/>
  <c r="P150" i="33"/>
  <c r="P152" i="33"/>
  <c r="P154" i="33"/>
  <c r="P156" i="33"/>
  <c r="P158" i="33"/>
  <c r="P160" i="33"/>
  <c r="P162" i="33"/>
  <c r="P164" i="33"/>
  <c r="P166" i="33"/>
  <c r="P168" i="33"/>
  <c r="P21" i="33"/>
  <c r="P23" i="33"/>
  <c r="P25" i="33"/>
  <c r="P27" i="33"/>
  <c r="P29" i="33"/>
  <c r="P31" i="33"/>
  <c r="P33" i="33"/>
  <c r="P35" i="33"/>
  <c r="P37" i="33"/>
  <c r="P39" i="33"/>
  <c r="P43" i="33"/>
  <c r="P47" i="33"/>
  <c r="P51" i="33"/>
  <c r="P55" i="33"/>
  <c r="P59" i="33"/>
  <c r="P63" i="33"/>
  <c r="P67" i="33"/>
  <c r="P71" i="33"/>
  <c r="P75" i="33"/>
  <c r="P79" i="33"/>
  <c r="P83" i="33"/>
  <c r="P87" i="33"/>
  <c r="P91" i="33"/>
  <c r="P95" i="33"/>
  <c r="P99" i="33"/>
  <c r="P103" i="33"/>
  <c r="P107" i="33"/>
  <c r="P111" i="33"/>
  <c r="P115" i="33"/>
  <c r="P119" i="33"/>
  <c r="P123" i="33"/>
  <c r="P127" i="33"/>
  <c r="P131" i="33"/>
  <c r="P135" i="33"/>
  <c r="P139" i="33"/>
  <c r="P143" i="33"/>
  <c r="P147" i="33"/>
  <c r="P151" i="33"/>
  <c r="P155" i="33"/>
  <c r="P159" i="33"/>
  <c r="P163" i="33"/>
  <c r="P167" i="33"/>
  <c r="P41" i="33"/>
  <c r="P45" i="33"/>
  <c r="P49" i="33"/>
  <c r="P53" i="33"/>
  <c r="P57" i="33"/>
  <c r="P61" i="33"/>
  <c r="P65" i="33"/>
  <c r="P69" i="33"/>
  <c r="P73" i="33"/>
  <c r="P77" i="33"/>
  <c r="P81" i="33"/>
  <c r="P85" i="33"/>
  <c r="P89" i="33"/>
  <c r="P93" i="33"/>
  <c r="P97" i="33"/>
  <c r="P101" i="33"/>
  <c r="P105" i="33"/>
  <c r="P109" i="33"/>
  <c r="P113" i="33"/>
  <c r="P117" i="33"/>
  <c r="P121" i="33"/>
  <c r="P125" i="33"/>
  <c r="P129" i="33"/>
  <c r="P133" i="33"/>
  <c r="P137" i="33"/>
  <c r="P141" i="33"/>
  <c r="P145" i="33"/>
  <c r="P149" i="33"/>
  <c r="P153" i="33"/>
  <c r="P157" i="33"/>
  <c r="P161" i="33"/>
  <c r="P165" i="33"/>
  <c r="K18" i="34"/>
  <c r="L18" i="34" s="1"/>
  <c r="K19" i="34"/>
  <c r="L19" i="34" s="1"/>
  <c r="K21" i="34"/>
  <c r="L21" i="34" s="1"/>
  <c r="K23" i="34"/>
  <c r="L23" i="34" s="1"/>
  <c r="K25" i="34"/>
  <c r="L25" i="34" s="1"/>
  <c r="K27" i="34"/>
  <c r="L27" i="34" s="1"/>
  <c r="K29" i="34"/>
  <c r="L29" i="34" s="1"/>
  <c r="K31" i="34"/>
  <c r="L31" i="34" s="1"/>
  <c r="K33" i="34"/>
  <c r="L33" i="34" s="1"/>
  <c r="K35" i="34"/>
  <c r="L35" i="34" s="1"/>
  <c r="K37" i="34"/>
  <c r="L37" i="34" s="1"/>
  <c r="K39" i="34"/>
  <c r="L39" i="34" s="1"/>
  <c r="K41" i="34"/>
  <c r="L41" i="34" s="1"/>
  <c r="K43" i="34"/>
  <c r="L43" i="34" s="1"/>
  <c r="K45" i="34"/>
  <c r="L45" i="34" s="1"/>
  <c r="K47" i="34"/>
  <c r="L47" i="34" s="1"/>
  <c r="K49" i="34"/>
  <c r="L49" i="34" s="1"/>
  <c r="K51" i="34"/>
  <c r="L51" i="34" s="1"/>
  <c r="K53" i="34"/>
  <c r="L53" i="34" s="1"/>
  <c r="K55" i="34"/>
  <c r="L55" i="34" s="1"/>
  <c r="K57" i="34"/>
  <c r="L57" i="34" s="1"/>
  <c r="K59" i="34"/>
  <c r="L59" i="34" s="1"/>
  <c r="K61" i="34"/>
  <c r="L61" i="34" s="1"/>
  <c r="K63" i="34"/>
  <c r="L63" i="34" s="1"/>
  <c r="K65" i="34"/>
  <c r="L65" i="34" s="1"/>
  <c r="K67" i="34"/>
  <c r="L67" i="34" s="1"/>
  <c r="K69" i="34"/>
  <c r="L69" i="34" s="1"/>
  <c r="K71" i="34"/>
  <c r="L71" i="34" s="1"/>
  <c r="K73" i="34"/>
  <c r="L73" i="34" s="1"/>
  <c r="K75" i="34"/>
  <c r="L75" i="34" s="1"/>
  <c r="K77" i="34"/>
  <c r="L77" i="34" s="1"/>
  <c r="K79" i="34"/>
  <c r="L79" i="34" s="1"/>
  <c r="K81" i="34"/>
  <c r="L81" i="34" s="1"/>
  <c r="K83" i="34"/>
  <c r="L83" i="34" s="1"/>
  <c r="K85" i="34"/>
  <c r="L85" i="34" s="1"/>
  <c r="K87" i="34"/>
  <c r="L87" i="34" s="1"/>
  <c r="K89" i="34"/>
  <c r="L89" i="34" s="1"/>
  <c r="K91" i="34"/>
  <c r="L91" i="34" s="1"/>
  <c r="K93" i="34"/>
  <c r="L93" i="34" s="1"/>
  <c r="K95" i="34"/>
  <c r="L95" i="34" s="1"/>
  <c r="K97" i="34"/>
  <c r="L97" i="34" s="1"/>
  <c r="K99" i="34"/>
  <c r="L99" i="34" s="1"/>
  <c r="K101" i="34"/>
  <c r="L101" i="34" s="1"/>
  <c r="K103" i="34"/>
  <c r="L103" i="34" s="1"/>
  <c r="K105" i="34"/>
  <c r="L105" i="34" s="1"/>
  <c r="K107" i="34"/>
  <c r="L107" i="34" s="1"/>
  <c r="K109" i="34"/>
  <c r="L109" i="34" s="1"/>
  <c r="K111" i="34"/>
  <c r="L111" i="34" s="1"/>
  <c r="K113" i="34"/>
  <c r="L113" i="34" s="1"/>
  <c r="K115" i="34"/>
  <c r="L115" i="34" s="1"/>
  <c r="K117" i="34"/>
  <c r="L117" i="34" s="1"/>
  <c r="K119" i="34"/>
  <c r="L119" i="34" s="1"/>
  <c r="K121" i="34"/>
  <c r="L121" i="34" s="1"/>
  <c r="K123" i="34"/>
  <c r="L123" i="34" s="1"/>
  <c r="K125" i="34"/>
  <c r="L125" i="34" s="1"/>
  <c r="K127" i="34"/>
  <c r="L127" i="34" s="1"/>
  <c r="K129" i="34"/>
  <c r="L129" i="34" s="1"/>
  <c r="K131" i="34"/>
  <c r="L131" i="34" s="1"/>
  <c r="K133" i="34"/>
  <c r="L133" i="34" s="1"/>
  <c r="K135" i="34"/>
  <c r="L135" i="34" s="1"/>
  <c r="K137" i="34"/>
  <c r="L137" i="34" s="1"/>
  <c r="K139" i="34"/>
  <c r="L139" i="34" s="1"/>
  <c r="K141" i="34"/>
  <c r="L141" i="34" s="1"/>
  <c r="K143" i="34"/>
  <c r="L143" i="34" s="1"/>
  <c r="K145" i="34"/>
  <c r="L145" i="34" s="1"/>
  <c r="K147" i="34"/>
  <c r="L147" i="34" s="1"/>
  <c r="K149" i="34"/>
  <c r="L149" i="34" s="1"/>
  <c r="K151" i="34"/>
  <c r="L151" i="34" s="1"/>
  <c r="K153" i="34"/>
  <c r="L153" i="34" s="1"/>
  <c r="K155" i="34"/>
  <c r="L155" i="34" s="1"/>
  <c r="K157" i="34"/>
  <c r="L157" i="34" s="1"/>
  <c r="K159" i="34"/>
  <c r="L159" i="34" s="1"/>
  <c r="K161" i="34"/>
  <c r="L161" i="34" s="1"/>
  <c r="K163" i="34"/>
  <c r="L163" i="34" s="1"/>
  <c r="K165" i="34"/>
  <c r="L165" i="34" s="1"/>
  <c r="K167" i="34"/>
  <c r="L167" i="34" s="1"/>
  <c r="K20" i="34"/>
  <c r="L20" i="34" s="1"/>
  <c r="K22" i="34"/>
  <c r="L22" i="34" s="1"/>
  <c r="K24" i="34"/>
  <c r="L24" i="34" s="1"/>
  <c r="K26" i="34"/>
  <c r="L26" i="34" s="1"/>
  <c r="K28" i="34"/>
  <c r="L28" i="34" s="1"/>
  <c r="K30" i="34"/>
  <c r="L30" i="34" s="1"/>
  <c r="K32" i="34"/>
  <c r="L32" i="34" s="1"/>
  <c r="K34" i="34"/>
  <c r="L34" i="34" s="1"/>
  <c r="K36" i="34"/>
  <c r="L36" i="34" s="1"/>
  <c r="K38" i="34"/>
  <c r="L38" i="34" s="1"/>
  <c r="K40" i="34"/>
  <c r="L40" i="34" s="1"/>
  <c r="K44" i="34"/>
  <c r="L44" i="34" s="1"/>
  <c r="K48" i="34"/>
  <c r="L48" i="34" s="1"/>
  <c r="K52" i="34"/>
  <c r="L52" i="34" s="1"/>
  <c r="K56" i="34"/>
  <c r="L56" i="34" s="1"/>
  <c r="K60" i="34"/>
  <c r="L60" i="34" s="1"/>
  <c r="K64" i="34"/>
  <c r="L64" i="34" s="1"/>
  <c r="K68" i="34"/>
  <c r="L68" i="34" s="1"/>
  <c r="K72" i="34"/>
  <c r="L72" i="34" s="1"/>
  <c r="K76" i="34"/>
  <c r="L76" i="34" s="1"/>
  <c r="K80" i="34"/>
  <c r="L80" i="34" s="1"/>
  <c r="K84" i="34"/>
  <c r="L84" i="34" s="1"/>
  <c r="K88" i="34"/>
  <c r="L88" i="34" s="1"/>
  <c r="K92" i="34"/>
  <c r="L92" i="34" s="1"/>
  <c r="K96" i="34"/>
  <c r="L96" i="34" s="1"/>
  <c r="K100" i="34"/>
  <c r="L100" i="34" s="1"/>
  <c r="K104" i="34"/>
  <c r="L104" i="34" s="1"/>
  <c r="K108" i="34"/>
  <c r="L108" i="34" s="1"/>
  <c r="K112" i="34"/>
  <c r="L112" i="34" s="1"/>
  <c r="K116" i="34"/>
  <c r="L116" i="34" s="1"/>
  <c r="K120" i="34"/>
  <c r="L120" i="34" s="1"/>
  <c r="K124" i="34"/>
  <c r="L124" i="34" s="1"/>
  <c r="K128" i="34"/>
  <c r="L128" i="34" s="1"/>
  <c r="K132" i="34"/>
  <c r="L132" i="34" s="1"/>
  <c r="K136" i="34"/>
  <c r="L136" i="34" s="1"/>
  <c r="K140" i="34"/>
  <c r="L140" i="34" s="1"/>
  <c r="K144" i="34"/>
  <c r="L144" i="34" s="1"/>
  <c r="K148" i="34"/>
  <c r="L148" i="34" s="1"/>
  <c r="K152" i="34"/>
  <c r="L152" i="34" s="1"/>
  <c r="K156" i="34"/>
  <c r="L156" i="34" s="1"/>
  <c r="K160" i="34"/>
  <c r="L160" i="34" s="1"/>
  <c r="K164" i="34"/>
  <c r="L164" i="34" s="1"/>
  <c r="K42" i="34"/>
  <c r="L42" i="34" s="1"/>
  <c r="K46" i="34"/>
  <c r="L46" i="34" s="1"/>
  <c r="K50" i="34"/>
  <c r="L50" i="34" s="1"/>
  <c r="K54" i="34"/>
  <c r="L54" i="34" s="1"/>
  <c r="K58" i="34"/>
  <c r="L58" i="34" s="1"/>
  <c r="K62" i="34"/>
  <c r="L62" i="34" s="1"/>
  <c r="K66" i="34"/>
  <c r="L66" i="34" s="1"/>
  <c r="K70" i="34"/>
  <c r="L70" i="34" s="1"/>
  <c r="K74" i="34"/>
  <c r="L74" i="34" s="1"/>
  <c r="K78" i="34"/>
  <c r="L78" i="34" s="1"/>
  <c r="K82" i="34"/>
  <c r="L82" i="34" s="1"/>
  <c r="K86" i="34"/>
  <c r="L86" i="34" s="1"/>
  <c r="K90" i="34"/>
  <c r="L90" i="34" s="1"/>
  <c r="K94" i="34"/>
  <c r="L94" i="34" s="1"/>
  <c r="K98" i="34"/>
  <c r="L98" i="34" s="1"/>
  <c r="K102" i="34"/>
  <c r="L102" i="34" s="1"/>
  <c r="K106" i="34"/>
  <c r="L106" i="34" s="1"/>
  <c r="K110" i="34"/>
  <c r="L110" i="34" s="1"/>
  <c r="K114" i="34"/>
  <c r="L114" i="34" s="1"/>
  <c r="K118" i="34"/>
  <c r="L118" i="34" s="1"/>
  <c r="K122" i="34"/>
  <c r="L122" i="34" s="1"/>
  <c r="K126" i="34"/>
  <c r="L126" i="34" s="1"/>
  <c r="K130" i="34"/>
  <c r="L130" i="34" s="1"/>
  <c r="K134" i="34"/>
  <c r="L134" i="34" s="1"/>
  <c r="K138" i="34"/>
  <c r="L138" i="34" s="1"/>
  <c r="K142" i="34"/>
  <c r="L142" i="34" s="1"/>
  <c r="K146" i="34"/>
  <c r="L146" i="34" s="1"/>
  <c r="K150" i="34"/>
  <c r="L150" i="34" s="1"/>
  <c r="K154" i="34"/>
  <c r="L154" i="34" s="1"/>
  <c r="K158" i="34"/>
  <c r="L158" i="34" s="1"/>
  <c r="K162" i="34"/>
  <c r="L162" i="34" s="1"/>
  <c r="K166" i="34"/>
  <c r="L166" i="34" s="1"/>
  <c r="M30" i="35"/>
  <c r="L30" i="35" s="1"/>
  <c r="M53" i="35"/>
  <c r="M42" i="35"/>
  <c r="AI11" i="35"/>
  <c r="AM48" i="35"/>
  <c r="AM145" i="35"/>
  <c r="AM12" i="35"/>
  <c r="AM14" i="35"/>
  <c r="AM13" i="35"/>
  <c r="AM172" i="35"/>
  <c r="AM62" i="35"/>
  <c r="AM111" i="35"/>
  <c r="AM137" i="35"/>
  <c r="AM93" i="35"/>
  <c r="AM148" i="35"/>
  <c r="AM43" i="35"/>
  <c r="AM66" i="35"/>
  <c r="AM176" i="35"/>
  <c r="AM104" i="35"/>
  <c r="AM20" i="35"/>
  <c r="AM53" i="35"/>
  <c r="AM126" i="35"/>
  <c r="AM171" i="35"/>
  <c r="AM39" i="35"/>
  <c r="AM51" i="35"/>
  <c r="AM112" i="35"/>
  <c r="AM127" i="35"/>
  <c r="AM40" i="35"/>
  <c r="AM168" i="35"/>
  <c r="AM77" i="35"/>
  <c r="AM84" i="35"/>
  <c r="AM87" i="35"/>
  <c r="AM44" i="35"/>
  <c r="AM101" i="35"/>
  <c r="AM30" i="35"/>
  <c r="AM94" i="35"/>
  <c r="AM158" i="35"/>
  <c r="AM107" i="35"/>
  <c r="AM73" i="35"/>
  <c r="AM60" i="35"/>
  <c r="AM133" i="35"/>
  <c r="AM130" i="35"/>
  <c r="AM17" i="35"/>
  <c r="AM80" i="35"/>
  <c r="AM144" i="35"/>
  <c r="AM63" i="35"/>
  <c r="AM29" i="35"/>
  <c r="AM157" i="35"/>
  <c r="AM72" i="35"/>
  <c r="AM136" i="35"/>
  <c r="AM47" i="35"/>
  <c r="AM175" i="35"/>
  <c r="AM141" i="35"/>
  <c r="AM52" i="35"/>
  <c r="AM116" i="35"/>
  <c r="AM23" i="35"/>
  <c r="AM151" i="35"/>
  <c r="AM117" i="35"/>
  <c r="AM108" i="35"/>
  <c r="AM135" i="35"/>
  <c r="AM46" i="35"/>
  <c r="AM78" i="35"/>
  <c r="AM110" i="35"/>
  <c r="AM142" i="35"/>
  <c r="AM174" i="35"/>
  <c r="AM75" i="35"/>
  <c r="AM139" i="35"/>
  <c r="AM41" i="35"/>
  <c r="AM105" i="35"/>
  <c r="AM169" i="35"/>
  <c r="AM124" i="35"/>
  <c r="AM167" i="35"/>
  <c r="AM34" i="35"/>
  <c r="AM98" i="35"/>
  <c r="AM162" i="35"/>
  <c r="AM115" i="35"/>
  <c r="AM81" i="35"/>
  <c r="AM32" i="35"/>
  <c r="AM64" i="35"/>
  <c r="AM96" i="35"/>
  <c r="AM128" i="35"/>
  <c r="AM160" i="35"/>
  <c r="AM31" i="35"/>
  <c r="AM95" i="35"/>
  <c r="AM159" i="35"/>
  <c r="AM61" i="35"/>
  <c r="AM125" i="35"/>
  <c r="AM24" i="35"/>
  <c r="AM56" i="35"/>
  <c r="AM88" i="35"/>
  <c r="AM120" i="35"/>
  <c r="AM152" i="35"/>
  <c r="AM15" i="35"/>
  <c r="AM79" i="35"/>
  <c r="AM143" i="35"/>
  <c r="AM45" i="35"/>
  <c r="AM109" i="35"/>
  <c r="AM173" i="35"/>
  <c r="AM36" i="35"/>
  <c r="AM68" i="35"/>
  <c r="AM100" i="35"/>
  <c r="AM132" i="35"/>
  <c r="AM164" i="35"/>
  <c r="AM55" i="35"/>
  <c r="AM119" i="35"/>
  <c r="AM21" i="35"/>
  <c r="AM85" i="35"/>
  <c r="AM149" i="35"/>
  <c r="AM76" i="35"/>
  <c r="AM140" i="35"/>
  <c r="AM71" i="35"/>
  <c r="AM37" i="35"/>
  <c r="AM165" i="35"/>
  <c r="AM22" i="35"/>
  <c r="AM38" i="35"/>
  <c r="AM54" i="35"/>
  <c r="AM70" i="35"/>
  <c r="AM86" i="35"/>
  <c r="AM102" i="35"/>
  <c r="AM118" i="35"/>
  <c r="AM134" i="35"/>
  <c r="AM150" i="35"/>
  <c r="AM166" i="35"/>
  <c r="AM27" i="35"/>
  <c r="AM59" i="35"/>
  <c r="AM91" i="35"/>
  <c r="AM123" i="35"/>
  <c r="AM155" i="35"/>
  <c r="AM25" i="35"/>
  <c r="AM57" i="35"/>
  <c r="AM89" i="35"/>
  <c r="AM121" i="35"/>
  <c r="AM153" i="35"/>
  <c r="AM28" i="35"/>
  <c r="AM92" i="35"/>
  <c r="AM156" i="35"/>
  <c r="AM103" i="35"/>
  <c r="AM69" i="35"/>
  <c r="AM18" i="35"/>
  <c r="AM50" i="35"/>
  <c r="AM82" i="35"/>
  <c r="AM114" i="35"/>
  <c r="AM146" i="35"/>
  <c r="AM19" i="35"/>
  <c r="AM83" i="35"/>
  <c r="AM147" i="35"/>
  <c r="AM49" i="35"/>
  <c r="AM113" i="35"/>
  <c r="AM42" i="35"/>
  <c r="AM74" i="35"/>
  <c r="AM106" i="35"/>
  <c r="AM138" i="35"/>
  <c r="AM170" i="35"/>
  <c r="AM67" i="35"/>
  <c r="AM131" i="35"/>
  <c r="AM33" i="35"/>
  <c r="AM97" i="35"/>
  <c r="AM161" i="35"/>
  <c r="AM26" i="35"/>
  <c r="AM58" i="35"/>
  <c r="AM90" i="35"/>
  <c r="AM122" i="35"/>
  <c r="AM154" i="35"/>
  <c r="AM35" i="35"/>
  <c r="AM99" i="35"/>
  <c r="AM163" i="35"/>
  <c r="AM65" i="35"/>
  <c r="AM129" i="35"/>
  <c r="AM16" i="35"/>
  <c r="P317" i="33"/>
  <c r="P315" i="33"/>
  <c r="P311" i="33"/>
  <c r="P309" i="33"/>
  <c r="P305" i="33"/>
  <c r="P297" i="33"/>
  <c r="P293" i="33"/>
  <c r="P291" i="33"/>
  <c r="P287" i="33"/>
  <c r="P283" i="33"/>
  <c r="P279" i="33"/>
  <c r="P277" i="33"/>
  <c r="P273" i="33"/>
  <c r="P271" i="33"/>
  <c r="P267" i="33"/>
  <c r="P263" i="33"/>
  <c r="P259" i="33"/>
  <c r="P255" i="33"/>
  <c r="P249" i="33"/>
  <c r="P245" i="33"/>
  <c r="P241" i="33"/>
  <c r="P319" i="33"/>
  <c r="P313" i="33"/>
  <c r="P307" i="33"/>
  <c r="P303" i="33"/>
  <c r="P301" i="33"/>
  <c r="P295" i="33"/>
  <c r="P289" i="33"/>
  <c r="P285" i="33"/>
  <c r="P281" i="33"/>
  <c r="P275" i="33"/>
  <c r="P269" i="33"/>
  <c r="P265" i="33"/>
  <c r="P261" i="33"/>
  <c r="P257" i="33"/>
  <c r="P253" i="33"/>
  <c r="P251" i="33"/>
  <c r="P247" i="33"/>
  <c r="P243" i="33"/>
  <c r="P239" i="33"/>
  <c r="P237" i="33"/>
  <c r="P318" i="33"/>
  <c r="P316" i="33"/>
  <c r="P312" i="33"/>
  <c r="P310" i="33"/>
  <c r="P308" i="33"/>
  <c r="P306" i="33"/>
  <c r="P304" i="33"/>
  <c r="P302" i="33"/>
  <c r="P300" i="33"/>
  <c r="P296" i="33"/>
  <c r="P294" i="33"/>
  <c r="P292" i="33"/>
  <c r="P290" i="33"/>
  <c r="P288" i="33"/>
  <c r="P286" i="33"/>
  <c r="P284" i="33"/>
  <c r="P280" i="33"/>
  <c r="P278" i="33"/>
  <c r="P276" i="33"/>
  <c r="P274" i="33"/>
  <c r="P272" i="33"/>
  <c r="P270" i="33"/>
  <c r="P268" i="33"/>
  <c r="P264" i="33"/>
  <c r="P262" i="33"/>
  <c r="P260" i="33"/>
  <c r="P258" i="33"/>
  <c r="P256" i="33"/>
  <c r="P254" i="33"/>
  <c r="P252" i="33"/>
  <c r="P248" i="33"/>
  <c r="P246" i="33"/>
  <c r="P244" i="33"/>
  <c r="P242" i="33"/>
  <c r="P240" i="33"/>
  <c r="P238" i="33"/>
  <c r="P236" i="33"/>
  <c r="V170" i="33"/>
  <c r="M26" i="35"/>
  <c r="L26" i="35" s="1"/>
  <c r="M52" i="35"/>
  <c r="M28" i="35"/>
  <c r="L28" i="35" s="1"/>
  <c r="M32" i="35"/>
  <c r="L32" i="35" s="1"/>
  <c r="M43" i="35"/>
  <c r="M24" i="35"/>
  <c r="L24" i="35" s="1"/>
  <c r="M31" i="35"/>
  <c r="L31" i="35" s="1"/>
  <c r="A3" i="34"/>
  <c r="A2" i="34"/>
  <c r="A3" i="33"/>
  <c r="A2" i="33"/>
  <c r="A3" i="37"/>
  <c r="A2" i="37"/>
  <c r="N319" i="33"/>
  <c r="M319" i="33"/>
  <c r="L319" i="33"/>
  <c r="H319" i="33"/>
  <c r="G319" i="33"/>
  <c r="O318" i="33"/>
  <c r="N318" i="33"/>
  <c r="M318" i="33"/>
  <c r="L318" i="33"/>
  <c r="K318" i="33"/>
  <c r="H318" i="33"/>
  <c r="G318" i="33"/>
  <c r="O317" i="33"/>
  <c r="M317" i="33"/>
  <c r="L317" i="33"/>
  <c r="H317" i="33"/>
  <c r="G317" i="33"/>
  <c r="O316" i="33"/>
  <c r="M316" i="33"/>
  <c r="L316" i="33"/>
  <c r="H316" i="33"/>
  <c r="G316" i="33"/>
  <c r="O315" i="33"/>
  <c r="M315" i="33"/>
  <c r="L315" i="33"/>
  <c r="H315" i="33"/>
  <c r="G315" i="33"/>
  <c r="O314" i="33"/>
  <c r="M314" i="33"/>
  <c r="L314" i="33"/>
  <c r="H314" i="33"/>
  <c r="G314" i="33"/>
  <c r="O313" i="33"/>
  <c r="M313" i="33"/>
  <c r="L313" i="33"/>
  <c r="H313" i="33"/>
  <c r="G313" i="33"/>
  <c r="O312" i="33"/>
  <c r="M312" i="33"/>
  <c r="L312" i="33"/>
  <c r="H312" i="33"/>
  <c r="G312" i="33"/>
  <c r="O311" i="33"/>
  <c r="M311" i="33"/>
  <c r="L311" i="33"/>
  <c r="H311" i="33"/>
  <c r="G311" i="33"/>
  <c r="O310" i="33"/>
  <c r="M310" i="33"/>
  <c r="L310" i="33"/>
  <c r="H310" i="33"/>
  <c r="G310" i="33"/>
  <c r="O309" i="33"/>
  <c r="M309" i="33"/>
  <c r="L309" i="33"/>
  <c r="H309" i="33"/>
  <c r="G309" i="33"/>
  <c r="O308" i="33"/>
  <c r="M308" i="33"/>
  <c r="L308" i="33"/>
  <c r="H308" i="33"/>
  <c r="G308" i="33"/>
  <c r="O307" i="33"/>
  <c r="M307" i="33"/>
  <c r="L307" i="33"/>
  <c r="H307" i="33"/>
  <c r="G307" i="33"/>
  <c r="O306" i="33"/>
  <c r="M306" i="33"/>
  <c r="L306" i="33"/>
  <c r="H306" i="33"/>
  <c r="G306" i="33"/>
  <c r="O305" i="33"/>
  <c r="M305" i="33"/>
  <c r="L305" i="33"/>
  <c r="H305" i="33"/>
  <c r="G305" i="33"/>
  <c r="O304" i="33"/>
  <c r="M304" i="33"/>
  <c r="L304" i="33"/>
  <c r="H304" i="33"/>
  <c r="G304" i="33"/>
  <c r="O303" i="33"/>
  <c r="M303" i="33"/>
  <c r="L303" i="33"/>
  <c r="H303" i="33"/>
  <c r="G303" i="33"/>
  <c r="O302" i="33"/>
  <c r="M302" i="33"/>
  <c r="L302" i="33"/>
  <c r="H302" i="33"/>
  <c r="G302" i="33"/>
  <c r="O301" i="33"/>
  <c r="M301" i="33"/>
  <c r="L301" i="33"/>
  <c r="H301" i="33"/>
  <c r="G301" i="33"/>
  <c r="O300" i="33"/>
  <c r="M300" i="33"/>
  <c r="L300" i="33"/>
  <c r="H300" i="33"/>
  <c r="G300" i="33"/>
  <c r="O299" i="33"/>
  <c r="M299" i="33"/>
  <c r="L299" i="33"/>
  <c r="H299" i="33"/>
  <c r="G299" i="33"/>
  <c r="O298" i="33"/>
  <c r="M298" i="33"/>
  <c r="L298" i="33"/>
  <c r="H298" i="33"/>
  <c r="G298" i="33"/>
  <c r="O297" i="33"/>
  <c r="M297" i="33"/>
  <c r="L297" i="33"/>
  <c r="H297" i="33"/>
  <c r="G297" i="33"/>
  <c r="O296" i="33"/>
  <c r="M296" i="33"/>
  <c r="L296" i="33"/>
  <c r="H296" i="33"/>
  <c r="G296" i="33"/>
  <c r="O295" i="33"/>
  <c r="M295" i="33"/>
  <c r="L295" i="33"/>
  <c r="H295" i="33"/>
  <c r="G295" i="33"/>
  <c r="O294" i="33"/>
  <c r="M294" i="33"/>
  <c r="L294" i="33"/>
  <c r="H294" i="33"/>
  <c r="G294" i="33"/>
  <c r="O293" i="33"/>
  <c r="M293" i="33"/>
  <c r="L293" i="33"/>
  <c r="H293" i="33"/>
  <c r="G293" i="33"/>
  <c r="O292" i="33"/>
  <c r="M292" i="33"/>
  <c r="L292" i="33"/>
  <c r="H292" i="33"/>
  <c r="G292" i="33"/>
  <c r="O291" i="33"/>
  <c r="M291" i="33"/>
  <c r="L291" i="33"/>
  <c r="H291" i="33"/>
  <c r="G291" i="33"/>
  <c r="O290" i="33"/>
  <c r="M290" i="33"/>
  <c r="L290" i="33"/>
  <c r="H290" i="33"/>
  <c r="G290" i="33"/>
  <c r="O289" i="33"/>
  <c r="M289" i="33"/>
  <c r="L289" i="33"/>
  <c r="H289" i="33"/>
  <c r="G289" i="33"/>
  <c r="O288" i="33"/>
  <c r="M288" i="33"/>
  <c r="L288" i="33"/>
  <c r="H288" i="33"/>
  <c r="G288" i="33"/>
  <c r="O287" i="33"/>
  <c r="M287" i="33"/>
  <c r="L287" i="33"/>
  <c r="H287" i="33"/>
  <c r="G287" i="33"/>
  <c r="O286" i="33"/>
  <c r="M286" i="33"/>
  <c r="L286" i="33"/>
  <c r="H286" i="33"/>
  <c r="G286" i="33"/>
  <c r="O285" i="33"/>
  <c r="M285" i="33"/>
  <c r="L285" i="33"/>
  <c r="H285" i="33"/>
  <c r="G285" i="33"/>
  <c r="O284" i="33"/>
  <c r="M284" i="33"/>
  <c r="L284" i="33"/>
  <c r="H284" i="33"/>
  <c r="G284" i="33"/>
  <c r="O283" i="33"/>
  <c r="M283" i="33"/>
  <c r="L283" i="33"/>
  <c r="H283" i="33"/>
  <c r="G283" i="33"/>
  <c r="O282" i="33"/>
  <c r="M282" i="33"/>
  <c r="L282" i="33"/>
  <c r="H282" i="33"/>
  <c r="G282" i="33"/>
  <c r="O281" i="33"/>
  <c r="M281" i="33"/>
  <c r="L281" i="33"/>
  <c r="H281" i="33"/>
  <c r="G281" i="33"/>
  <c r="O280" i="33"/>
  <c r="M280" i="33"/>
  <c r="L280" i="33"/>
  <c r="H280" i="33"/>
  <c r="G280" i="33"/>
  <c r="O279" i="33"/>
  <c r="M279" i="33"/>
  <c r="L279" i="33"/>
  <c r="H279" i="33"/>
  <c r="G279" i="33"/>
  <c r="O278" i="33"/>
  <c r="M278" i="33"/>
  <c r="L278" i="33"/>
  <c r="H278" i="33"/>
  <c r="G278" i="33"/>
  <c r="O277" i="33"/>
  <c r="M277" i="33"/>
  <c r="L277" i="33"/>
  <c r="H277" i="33"/>
  <c r="G277" i="33"/>
  <c r="O276" i="33"/>
  <c r="M276" i="33"/>
  <c r="L276" i="33"/>
  <c r="H276" i="33"/>
  <c r="G276" i="33"/>
  <c r="O275" i="33"/>
  <c r="M275" i="33"/>
  <c r="L275" i="33"/>
  <c r="H275" i="33"/>
  <c r="G275" i="33"/>
  <c r="O274" i="33"/>
  <c r="M274" i="33"/>
  <c r="L274" i="33"/>
  <c r="H274" i="33"/>
  <c r="G274" i="33"/>
  <c r="O273" i="33"/>
  <c r="M273" i="33"/>
  <c r="L273" i="33"/>
  <c r="H273" i="33"/>
  <c r="G273" i="33"/>
  <c r="O272" i="33"/>
  <c r="M272" i="33"/>
  <c r="L272" i="33"/>
  <c r="H272" i="33"/>
  <c r="G272" i="33"/>
  <c r="O271" i="33"/>
  <c r="M271" i="33"/>
  <c r="L271" i="33"/>
  <c r="H271" i="33"/>
  <c r="G271" i="33"/>
  <c r="O270" i="33"/>
  <c r="M270" i="33"/>
  <c r="L270" i="33"/>
  <c r="H270" i="33"/>
  <c r="G270" i="33"/>
  <c r="O269" i="33"/>
  <c r="M269" i="33"/>
  <c r="L269" i="33"/>
  <c r="H269" i="33"/>
  <c r="G269" i="33"/>
  <c r="O268" i="33"/>
  <c r="M268" i="33"/>
  <c r="L268" i="33"/>
  <c r="H268" i="33"/>
  <c r="G268" i="33"/>
  <c r="O267" i="33"/>
  <c r="M267" i="33"/>
  <c r="L267" i="33"/>
  <c r="H267" i="33"/>
  <c r="G267" i="33"/>
  <c r="O266" i="33"/>
  <c r="M266" i="33"/>
  <c r="L266" i="33"/>
  <c r="H266" i="33"/>
  <c r="G266" i="33"/>
  <c r="O265" i="33"/>
  <c r="M265" i="33"/>
  <c r="L265" i="33"/>
  <c r="H265" i="33"/>
  <c r="G265" i="33"/>
  <c r="O264" i="33"/>
  <c r="M264" i="33"/>
  <c r="L264" i="33"/>
  <c r="H264" i="33"/>
  <c r="G264" i="33"/>
  <c r="O263" i="33"/>
  <c r="M263" i="33"/>
  <c r="L263" i="33"/>
  <c r="H263" i="33"/>
  <c r="G263" i="33"/>
  <c r="O262" i="33"/>
  <c r="M262" i="33"/>
  <c r="L262" i="33"/>
  <c r="H262" i="33"/>
  <c r="G262" i="33"/>
  <c r="O261" i="33"/>
  <c r="M261" i="33"/>
  <c r="L261" i="33"/>
  <c r="H261" i="33"/>
  <c r="G261" i="33"/>
  <c r="O260" i="33"/>
  <c r="M260" i="33"/>
  <c r="L260" i="33"/>
  <c r="H260" i="33"/>
  <c r="G260" i="33"/>
  <c r="O259" i="33"/>
  <c r="M259" i="33"/>
  <c r="L259" i="33"/>
  <c r="H259" i="33"/>
  <c r="G259" i="33"/>
  <c r="O258" i="33"/>
  <c r="M258" i="33"/>
  <c r="L258" i="33"/>
  <c r="H258" i="33"/>
  <c r="G258" i="33"/>
  <c r="O257" i="33"/>
  <c r="M257" i="33"/>
  <c r="L257" i="33"/>
  <c r="H257" i="33"/>
  <c r="G257" i="33"/>
  <c r="O256" i="33"/>
  <c r="M256" i="33"/>
  <c r="L256" i="33"/>
  <c r="H256" i="33"/>
  <c r="G256" i="33"/>
  <c r="O255" i="33"/>
  <c r="M255" i="33"/>
  <c r="L255" i="33"/>
  <c r="H255" i="33"/>
  <c r="G255" i="33"/>
  <c r="O254" i="33"/>
  <c r="M254" i="33"/>
  <c r="L254" i="33"/>
  <c r="H254" i="33"/>
  <c r="G254" i="33"/>
  <c r="O253" i="33"/>
  <c r="M253" i="33"/>
  <c r="L253" i="33"/>
  <c r="H253" i="33"/>
  <c r="G253" i="33"/>
  <c r="O252" i="33"/>
  <c r="M252" i="33"/>
  <c r="L252" i="33"/>
  <c r="H252" i="33"/>
  <c r="G252" i="33"/>
  <c r="O251" i="33"/>
  <c r="M251" i="33"/>
  <c r="L251" i="33"/>
  <c r="H251" i="33"/>
  <c r="G251" i="33"/>
  <c r="O250" i="33"/>
  <c r="M250" i="33"/>
  <c r="L250" i="33"/>
  <c r="H250" i="33"/>
  <c r="G250" i="33"/>
  <c r="O249" i="33"/>
  <c r="M249" i="33"/>
  <c r="L249" i="33"/>
  <c r="H249" i="33"/>
  <c r="G249" i="33"/>
  <c r="O248" i="33"/>
  <c r="M248" i="33"/>
  <c r="L248" i="33"/>
  <c r="H248" i="33"/>
  <c r="G248" i="33"/>
  <c r="O247" i="33"/>
  <c r="M247" i="33"/>
  <c r="L247" i="33"/>
  <c r="H247" i="33"/>
  <c r="G247" i="33"/>
  <c r="O246" i="33"/>
  <c r="M246" i="33"/>
  <c r="L246" i="33"/>
  <c r="H246" i="33"/>
  <c r="G246" i="33"/>
  <c r="O245" i="33"/>
  <c r="M245" i="33"/>
  <c r="L245" i="33"/>
  <c r="H245" i="33"/>
  <c r="G245" i="33"/>
  <c r="O244" i="33"/>
  <c r="M244" i="33"/>
  <c r="L244" i="33"/>
  <c r="H244" i="33"/>
  <c r="G244" i="33"/>
  <c r="O243" i="33"/>
  <c r="M243" i="33"/>
  <c r="L243" i="33"/>
  <c r="H243" i="33"/>
  <c r="G243" i="33"/>
  <c r="O242" i="33"/>
  <c r="M242" i="33"/>
  <c r="L242" i="33"/>
  <c r="H242" i="33"/>
  <c r="G242" i="33"/>
  <c r="O241" i="33"/>
  <c r="M241" i="33"/>
  <c r="L241" i="33"/>
  <c r="H241" i="33"/>
  <c r="G241" i="33"/>
  <c r="O240" i="33"/>
  <c r="M240" i="33"/>
  <c r="L240" i="33"/>
  <c r="H240" i="33"/>
  <c r="G240" i="33"/>
  <c r="O239" i="33"/>
  <c r="M239" i="33"/>
  <c r="L239" i="33"/>
  <c r="H239" i="33"/>
  <c r="G239" i="33"/>
  <c r="O238" i="33"/>
  <c r="M238" i="33"/>
  <c r="L238" i="33"/>
  <c r="H238" i="33"/>
  <c r="G238" i="33"/>
  <c r="O237" i="33"/>
  <c r="M237" i="33"/>
  <c r="L237" i="33"/>
  <c r="H237" i="33"/>
  <c r="G237" i="33"/>
  <c r="O236" i="33"/>
  <c r="M236" i="33"/>
  <c r="L236" i="33"/>
  <c r="H236" i="33"/>
  <c r="G236" i="33"/>
  <c r="O235" i="33"/>
  <c r="M235" i="33"/>
  <c r="L235" i="33"/>
  <c r="H235" i="33"/>
  <c r="G235" i="33"/>
  <c r="O234" i="33"/>
  <c r="M234" i="33"/>
  <c r="L234" i="33"/>
  <c r="H234" i="33"/>
  <c r="G234" i="33"/>
  <c r="O233" i="33"/>
  <c r="M233" i="33"/>
  <c r="L233" i="33"/>
  <c r="H233" i="33"/>
  <c r="G233" i="33"/>
  <c r="M232" i="33"/>
  <c r="L232" i="33"/>
  <c r="H232" i="33"/>
  <c r="G232" i="33"/>
  <c r="M231" i="33"/>
  <c r="L231" i="33"/>
  <c r="H231" i="33"/>
  <c r="G231" i="33"/>
  <c r="M230" i="33"/>
  <c r="L230" i="33"/>
  <c r="H230" i="33"/>
  <c r="G230" i="33"/>
  <c r="M229" i="33"/>
  <c r="L229" i="33"/>
  <c r="H229" i="33"/>
  <c r="G229" i="33"/>
  <c r="M228" i="33"/>
  <c r="L228" i="33"/>
  <c r="H228" i="33"/>
  <c r="G228" i="33"/>
  <c r="M227" i="33"/>
  <c r="L227" i="33"/>
  <c r="H227" i="33"/>
  <c r="G227" i="33"/>
  <c r="M226" i="33"/>
  <c r="L226" i="33"/>
  <c r="H226" i="33"/>
  <c r="G226" i="33"/>
  <c r="M225" i="33"/>
  <c r="L225" i="33"/>
  <c r="H225" i="33"/>
  <c r="G225" i="33"/>
  <c r="M224" i="33"/>
  <c r="L224" i="33"/>
  <c r="H224" i="33"/>
  <c r="G224" i="33"/>
  <c r="M223" i="33"/>
  <c r="L223" i="33"/>
  <c r="H223" i="33"/>
  <c r="G223" i="33"/>
  <c r="M222" i="33"/>
  <c r="L222" i="33"/>
  <c r="H222" i="33"/>
  <c r="G222" i="33"/>
  <c r="M221" i="33"/>
  <c r="L221" i="33"/>
  <c r="H221" i="33"/>
  <c r="G221" i="33"/>
  <c r="M220" i="33"/>
  <c r="L220" i="33"/>
  <c r="H220" i="33"/>
  <c r="G220" i="33"/>
  <c r="M219" i="33"/>
  <c r="L219" i="33"/>
  <c r="H219" i="33"/>
  <c r="G219" i="33"/>
  <c r="M218" i="33"/>
  <c r="L218" i="33"/>
  <c r="H218" i="33"/>
  <c r="G218" i="33"/>
  <c r="M217" i="33"/>
  <c r="L217" i="33"/>
  <c r="H217" i="33"/>
  <c r="G217" i="33"/>
  <c r="M216" i="33"/>
  <c r="L216" i="33"/>
  <c r="H216" i="33"/>
  <c r="G216" i="33"/>
  <c r="M215" i="33"/>
  <c r="L215" i="33"/>
  <c r="H215" i="33"/>
  <c r="G215" i="33"/>
  <c r="M214" i="33"/>
  <c r="L214" i="33"/>
  <c r="H214" i="33"/>
  <c r="G214" i="33"/>
  <c r="M213" i="33"/>
  <c r="L213" i="33"/>
  <c r="H213" i="33"/>
  <c r="G213" i="33"/>
  <c r="M212" i="33"/>
  <c r="L212" i="33"/>
  <c r="H212" i="33"/>
  <c r="G212" i="33"/>
  <c r="M211" i="33"/>
  <c r="L211" i="33"/>
  <c r="H211" i="33"/>
  <c r="G211" i="33"/>
  <c r="M210" i="33"/>
  <c r="L210" i="33"/>
  <c r="H210" i="33"/>
  <c r="G210" i="33"/>
  <c r="M209" i="33"/>
  <c r="L209" i="33"/>
  <c r="H209" i="33"/>
  <c r="G209" i="33"/>
  <c r="M208" i="33"/>
  <c r="L208" i="33"/>
  <c r="H208" i="33"/>
  <c r="G208" i="33"/>
  <c r="M207" i="33"/>
  <c r="L207" i="33"/>
  <c r="H207" i="33"/>
  <c r="G207" i="33"/>
  <c r="M206" i="33"/>
  <c r="L206" i="33"/>
  <c r="H206" i="33"/>
  <c r="G206" i="33"/>
  <c r="M205" i="33"/>
  <c r="L205" i="33"/>
  <c r="H205" i="33"/>
  <c r="G205" i="33"/>
  <c r="M204" i="33"/>
  <c r="L204" i="33"/>
  <c r="H204" i="33"/>
  <c r="G204" i="33"/>
  <c r="M203" i="33"/>
  <c r="L203" i="33"/>
  <c r="H203" i="33"/>
  <c r="G203" i="33"/>
  <c r="M202" i="33"/>
  <c r="L202" i="33"/>
  <c r="H202" i="33"/>
  <c r="G202" i="33"/>
  <c r="M201" i="33"/>
  <c r="L201" i="33"/>
  <c r="H201" i="33"/>
  <c r="G201" i="33"/>
  <c r="M200" i="33"/>
  <c r="L200" i="33"/>
  <c r="H200" i="33"/>
  <c r="G200" i="33"/>
  <c r="M199" i="33"/>
  <c r="L199" i="33"/>
  <c r="H199" i="33"/>
  <c r="G199" i="33"/>
  <c r="M198" i="33"/>
  <c r="L198" i="33"/>
  <c r="H198" i="33"/>
  <c r="G198" i="33"/>
  <c r="M197" i="33"/>
  <c r="L197" i="33"/>
  <c r="H197" i="33"/>
  <c r="G197" i="33"/>
  <c r="M196" i="33"/>
  <c r="L196" i="33"/>
  <c r="H196" i="33"/>
  <c r="G196" i="33"/>
  <c r="M195" i="33"/>
  <c r="L195" i="33"/>
  <c r="H195" i="33"/>
  <c r="G195" i="33"/>
  <c r="M194" i="33"/>
  <c r="L194" i="33"/>
  <c r="H194" i="33"/>
  <c r="G194" i="33"/>
  <c r="M193" i="33"/>
  <c r="L193" i="33"/>
  <c r="H193" i="33"/>
  <c r="G193" i="33"/>
  <c r="M192" i="33"/>
  <c r="L192" i="33"/>
  <c r="H192" i="33"/>
  <c r="G192" i="33"/>
  <c r="M191" i="33"/>
  <c r="L191" i="33"/>
  <c r="H191" i="33"/>
  <c r="G191" i="33"/>
  <c r="M190" i="33"/>
  <c r="L190" i="33"/>
  <c r="H190" i="33"/>
  <c r="G190" i="33"/>
  <c r="M189" i="33"/>
  <c r="L189" i="33"/>
  <c r="H189" i="33"/>
  <c r="G189" i="33"/>
  <c r="M188" i="33"/>
  <c r="L188" i="33"/>
  <c r="H188" i="33"/>
  <c r="G188" i="33"/>
  <c r="M187" i="33"/>
  <c r="L187" i="33"/>
  <c r="H187" i="33"/>
  <c r="G187" i="33"/>
  <c r="M186" i="33"/>
  <c r="L186" i="33"/>
  <c r="H186" i="33"/>
  <c r="G186" i="33"/>
  <c r="M185" i="33"/>
  <c r="L185" i="33"/>
  <c r="H185" i="33"/>
  <c r="G185" i="33"/>
  <c r="M184" i="33"/>
  <c r="L184" i="33"/>
  <c r="H184" i="33"/>
  <c r="G184" i="33"/>
  <c r="M183" i="33"/>
  <c r="L183" i="33"/>
  <c r="H183" i="33"/>
  <c r="G183" i="33"/>
  <c r="M182" i="33"/>
  <c r="L182" i="33"/>
  <c r="H182" i="33"/>
  <c r="G182" i="33"/>
  <c r="M181" i="33"/>
  <c r="L181" i="33"/>
  <c r="H181" i="33"/>
  <c r="G181" i="33"/>
  <c r="M180" i="33"/>
  <c r="L180" i="33"/>
  <c r="H180" i="33"/>
  <c r="G180" i="33"/>
  <c r="M179" i="33"/>
  <c r="L179" i="33"/>
  <c r="H179" i="33"/>
  <c r="G179" i="33"/>
  <c r="M178" i="33"/>
  <c r="L178" i="33"/>
  <c r="H178" i="33"/>
  <c r="G178" i="33"/>
  <c r="M177" i="33"/>
  <c r="L177" i="33"/>
  <c r="H177" i="33"/>
  <c r="G177" i="33"/>
  <c r="M176" i="33"/>
  <c r="L176" i="33"/>
  <c r="H176" i="33"/>
  <c r="G176" i="33"/>
  <c r="M175" i="33"/>
  <c r="L175" i="33"/>
  <c r="H175" i="33"/>
  <c r="G175" i="33"/>
  <c r="M174" i="33"/>
  <c r="L174" i="33"/>
  <c r="H174" i="33"/>
  <c r="G174" i="33"/>
  <c r="M173" i="33"/>
  <c r="L173" i="33"/>
  <c r="H173" i="33"/>
  <c r="G173" i="33"/>
  <c r="M172" i="33"/>
  <c r="L172" i="33"/>
  <c r="H172" i="33"/>
  <c r="G172" i="33"/>
  <c r="M171" i="33"/>
  <c r="L171" i="33"/>
  <c r="H171" i="33"/>
  <c r="G171" i="33"/>
  <c r="M170" i="33"/>
  <c r="L170" i="33"/>
  <c r="H170" i="33"/>
  <c r="G170" i="33"/>
  <c r="D319" i="33"/>
  <c r="B319" i="33"/>
  <c r="A319" i="33"/>
  <c r="D318" i="33"/>
  <c r="B318" i="33"/>
  <c r="A318" i="33"/>
  <c r="D317" i="33"/>
  <c r="B317" i="33"/>
  <c r="A317" i="33"/>
  <c r="D316" i="33"/>
  <c r="B316" i="33"/>
  <c r="A316" i="33"/>
  <c r="D315" i="33"/>
  <c r="B315" i="33"/>
  <c r="A315" i="33"/>
  <c r="D314" i="33"/>
  <c r="B314" i="33"/>
  <c r="A314" i="33"/>
  <c r="D313" i="33"/>
  <c r="B313" i="33"/>
  <c r="A313" i="33"/>
  <c r="D312" i="33"/>
  <c r="B312" i="33"/>
  <c r="A312" i="33"/>
  <c r="D311" i="33"/>
  <c r="B311" i="33"/>
  <c r="A311" i="33"/>
  <c r="D310" i="33"/>
  <c r="B310" i="33"/>
  <c r="A310" i="33"/>
  <c r="D309" i="33"/>
  <c r="B309" i="33"/>
  <c r="A309" i="33"/>
  <c r="D308" i="33"/>
  <c r="B308" i="33"/>
  <c r="A308" i="33"/>
  <c r="D307" i="33"/>
  <c r="B307" i="33"/>
  <c r="A307" i="33"/>
  <c r="D306" i="33"/>
  <c r="B306" i="33"/>
  <c r="A306" i="33"/>
  <c r="D305" i="33"/>
  <c r="B305" i="33"/>
  <c r="A305" i="33"/>
  <c r="D304" i="33"/>
  <c r="B304" i="33"/>
  <c r="A304" i="33"/>
  <c r="D303" i="33"/>
  <c r="B303" i="33"/>
  <c r="A303" i="33"/>
  <c r="D302" i="33"/>
  <c r="B302" i="33"/>
  <c r="A302" i="33"/>
  <c r="D301" i="33"/>
  <c r="B301" i="33"/>
  <c r="A301" i="33"/>
  <c r="D300" i="33"/>
  <c r="B300" i="33"/>
  <c r="A300" i="33"/>
  <c r="D299" i="33"/>
  <c r="B299" i="33"/>
  <c r="A299" i="33"/>
  <c r="D298" i="33"/>
  <c r="B298" i="33"/>
  <c r="A298" i="33"/>
  <c r="D297" i="33"/>
  <c r="B297" i="33"/>
  <c r="A297" i="33"/>
  <c r="D296" i="33"/>
  <c r="B296" i="33"/>
  <c r="A296" i="33"/>
  <c r="D295" i="33"/>
  <c r="B295" i="33"/>
  <c r="A295" i="33"/>
  <c r="D294" i="33"/>
  <c r="B294" i="33"/>
  <c r="A294" i="33"/>
  <c r="D293" i="33"/>
  <c r="B293" i="33"/>
  <c r="A293" i="33"/>
  <c r="D292" i="33"/>
  <c r="B292" i="33"/>
  <c r="A292" i="33"/>
  <c r="D291" i="33"/>
  <c r="B291" i="33"/>
  <c r="A291" i="33"/>
  <c r="D290" i="33"/>
  <c r="B290" i="33"/>
  <c r="A290" i="33"/>
  <c r="D289" i="33"/>
  <c r="B289" i="33"/>
  <c r="A289" i="33"/>
  <c r="D288" i="33"/>
  <c r="B288" i="33"/>
  <c r="A288" i="33"/>
  <c r="D287" i="33"/>
  <c r="B287" i="33"/>
  <c r="A287" i="33"/>
  <c r="D286" i="33"/>
  <c r="B286" i="33"/>
  <c r="A286" i="33"/>
  <c r="D285" i="33"/>
  <c r="B285" i="33"/>
  <c r="A285" i="33"/>
  <c r="D284" i="33"/>
  <c r="B284" i="33"/>
  <c r="A284" i="33"/>
  <c r="D283" i="33"/>
  <c r="B283" i="33"/>
  <c r="A283" i="33"/>
  <c r="D282" i="33"/>
  <c r="B282" i="33"/>
  <c r="A282" i="33"/>
  <c r="D281" i="33"/>
  <c r="B281" i="33"/>
  <c r="A281" i="33"/>
  <c r="D280" i="33"/>
  <c r="B280" i="33"/>
  <c r="A280" i="33"/>
  <c r="D279" i="33"/>
  <c r="B279" i="33"/>
  <c r="A279" i="33"/>
  <c r="D278" i="33"/>
  <c r="B278" i="33"/>
  <c r="A278" i="33"/>
  <c r="D277" i="33"/>
  <c r="B277" i="33"/>
  <c r="A277" i="33"/>
  <c r="D276" i="33"/>
  <c r="B276" i="33"/>
  <c r="A276" i="33"/>
  <c r="D275" i="33"/>
  <c r="B275" i="33"/>
  <c r="A275" i="33"/>
  <c r="D274" i="33"/>
  <c r="B274" i="33"/>
  <c r="A274" i="33"/>
  <c r="D273" i="33"/>
  <c r="B273" i="33"/>
  <c r="A273" i="33"/>
  <c r="D272" i="33"/>
  <c r="B272" i="33"/>
  <c r="A272" i="33"/>
  <c r="D271" i="33"/>
  <c r="B271" i="33"/>
  <c r="A271" i="33"/>
  <c r="D270" i="33"/>
  <c r="B270" i="33"/>
  <c r="A270" i="33"/>
  <c r="D269" i="33"/>
  <c r="B269" i="33"/>
  <c r="A269" i="33"/>
  <c r="D268" i="33"/>
  <c r="B268" i="33"/>
  <c r="A268" i="33"/>
  <c r="D267" i="33"/>
  <c r="B267" i="33"/>
  <c r="A267" i="33"/>
  <c r="D266" i="33"/>
  <c r="B266" i="33"/>
  <c r="A266" i="33"/>
  <c r="D265" i="33"/>
  <c r="B265" i="33"/>
  <c r="A265" i="33"/>
  <c r="D264" i="33"/>
  <c r="B264" i="33"/>
  <c r="A264" i="33"/>
  <c r="D263" i="33"/>
  <c r="B263" i="33"/>
  <c r="A263" i="33"/>
  <c r="D262" i="33"/>
  <c r="B262" i="33"/>
  <c r="A262" i="33"/>
  <c r="D261" i="33"/>
  <c r="B261" i="33"/>
  <c r="A261" i="33"/>
  <c r="D260" i="33"/>
  <c r="B260" i="33"/>
  <c r="A260" i="33"/>
  <c r="D259" i="33"/>
  <c r="B259" i="33"/>
  <c r="A259" i="33"/>
  <c r="D258" i="33"/>
  <c r="B258" i="33"/>
  <c r="A258" i="33"/>
  <c r="D257" i="33"/>
  <c r="B257" i="33"/>
  <c r="A257" i="33"/>
  <c r="D256" i="33"/>
  <c r="B256" i="33"/>
  <c r="A256" i="33"/>
  <c r="D255" i="33"/>
  <c r="B255" i="33"/>
  <c r="A255" i="33"/>
  <c r="D254" i="33"/>
  <c r="B254" i="33"/>
  <c r="A254" i="33"/>
  <c r="D253" i="33"/>
  <c r="B253" i="33"/>
  <c r="A253" i="33"/>
  <c r="D252" i="33"/>
  <c r="B252" i="33"/>
  <c r="A252" i="33"/>
  <c r="D251" i="33"/>
  <c r="B251" i="33"/>
  <c r="A251" i="33"/>
  <c r="D250" i="33"/>
  <c r="B250" i="33"/>
  <c r="A250" i="33"/>
  <c r="D249" i="33"/>
  <c r="B249" i="33"/>
  <c r="A249" i="33"/>
  <c r="D248" i="33"/>
  <c r="B248" i="33"/>
  <c r="A248" i="33"/>
  <c r="D247" i="33"/>
  <c r="B247" i="33"/>
  <c r="A247" i="33"/>
  <c r="D246" i="33"/>
  <c r="B246" i="33"/>
  <c r="A246" i="33"/>
  <c r="D245" i="33"/>
  <c r="B245" i="33"/>
  <c r="A245" i="33"/>
  <c r="D244" i="33"/>
  <c r="B244" i="33"/>
  <c r="A244" i="33"/>
  <c r="D243" i="33"/>
  <c r="B243" i="33"/>
  <c r="A243" i="33"/>
  <c r="D242" i="33"/>
  <c r="B242" i="33"/>
  <c r="A242" i="33"/>
  <c r="D241" i="33"/>
  <c r="B241" i="33"/>
  <c r="A241" i="33"/>
  <c r="D240" i="33"/>
  <c r="B240" i="33"/>
  <c r="A240" i="33"/>
  <c r="D239" i="33"/>
  <c r="B239" i="33"/>
  <c r="A239" i="33"/>
  <c r="D238" i="33"/>
  <c r="B238" i="33"/>
  <c r="A238" i="33"/>
  <c r="D237" i="33"/>
  <c r="B237" i="33"/>
  <c r="A237" i="33"/>
  <c r="D236" i="33"/>
  <c r="B236" i="33"/>
  <c r="A236" i="33"/>
  <c r="D235" i="33"/>
  <c r="B235" i="33"/>
  <c r="A235" i="33"/>
  <c r="D234" i="33"/>
  <c r="B234" i="33"/>
  <c r="A234" i="33"/>
  <c r="D233" i="33"/>
  <c r="B233" i="33"/>
  <c r="A233" i="33"/>
  <c r="D232" i="33"/>
  <c r="B232" i="33"/>
  <c r="A232" i="33"/>
  <c r="D231" i="33"/>
  <c r="B231" i="33"/>
  <c r="A231" i="33"/>
  <c r="D230" i="33"/>
  <c r="B230" i="33"/>
  <c r="A230" i="33"/>
  <c r="D229" i="33"/>
  <c r="B229" i="33"/>
  <c r="A229" i="33"/>
  <c r="D228" i="33"/>
  <c r="B228" i="33"/>
  <c r="A228" i="33"/>
  <c r="D227" i="33"/>
  <c r="B227" i="33"/>
  <c r="A227" i="33"/>
  <c r="D226" i="33"/>
  <c r="B226" i="33"/>
  <c r="A226" i="33"/>
  <c r="D225" i="33"/>
  <c r="B225" i="33"/>
  <c r="A225" i="33"/>
  <c r="D224" i="33"/>
  <c r="B224" i="33"/>
  <c r="A224" i="33"/>
  <c r="D223" i="33"/>
  <c r="B223" i="33"/>
  <c r="A223" i="33"/>
  <c r="D222" i="33"/>
  <c r="B222" i="33"/>
  <c r="A222" i="33"/>
  <c r="D221" i="33"/>
  <c r="B221" i="33"/>
  <c r="A221" i="33"/>
  <c r="D220" i="33"/>
  <c r="B220" i="33"/>
  <c r="A220" i="33"/>
  <c r="D219" i="33"/>
  <c r="B219" i="33"/>
  <c r="A219" i="33"/>
  <c r="D218" i="33"/>
  <c r="B218" i="33"/>
  <c r="A218" i="33"/>
  <c r="D217" i="33"/>
  <c r="B217" i="33"/>
  <c r="A217" i="33"/>
  <c r="D216" i="33"/>
  <c r="B216" i="33"/>
  <c r="A216" i="33"/>
  <c r="D215" i="33"/>
  <c r="B215" i="33"/>
  <c r="A215" i="33"/>
  <c r="D214" i="33"/>
  <c r="B214" i="33"/>
  <c r="A214" i="33"/>
  <c r="D213" i="33"/>
  <c r="B213" i="33"/>
  <c r="A213" i="33"/>
  <c r="D212" i="33"/>
  <c r="B212" i="33"/>
  <c r="A212" i="33"/>
  <c r="D211" i="33"/>
  <c r="B211" i="33"/>
  <c r="A211" i="33"/>
  <c r="D210" i="33"/>
  <c r="B210" i="33"/>
  <c r="A210" i="33"/>
  <c r="D209" i="33"/>
  <c r="B209" i="33"/>
  <c r="A209" i="33"/>
  <c r="D208" i="33"/>
  <c r="B208" i="33"/>
  <c r="A208" i="33"/>
  <c r="D207" i="33"/>
  <c r="B207" i="33"/>
  <c r="A207" i="33"/>
  <c r="D206" i="33"/>
  <c r="B206" i="33"/>
  <c r="A206" i="33"/>
  <c r="D205" i="33"/>
  <c r="B205" i="33"/>
  <c r="A205" i="33"/>
  <c r="D204" i="33"/>
  <c r="B204" i="33"/>
  <c r="A204" i="33"/>
  <c r="D203" i="33"/>
  <c r="B203" i="33"/>
  <c r="A203" i="33"/>
  <c r="D202" i="33"/>
  <c r="B202" i="33"/>
  <c r="A202" i="33"/>
  <c r="D201" i="33"/>
  <c r="B201" i="33"/>
  <c r="A201" i="33"/>
  <c r="D200" i="33"/>
  <c r="B200" i="33"/>
  <c r="A200" i="33"/>
  <c r="D199" i="33"/>
  <c r="B199" i="33"/>
  <c r="A199" i="33"/>
  <c r="D198" i="33"/>
  <c r="B198" i="33"/>
  <c r="A198" i="33"/>
  <c r="D197" i="33"/>
  <c r="B197" i="33"/>
  <c r="A197" i="33"/>
  <c r="D196" i="33"/>
  <c r="B196" i="33"/>
  <c r="A196" i="33"/>
  <c r="D195" i="33"/>
  <c r="B195" i="33"/>
  <c r="A195" i="33"/>
  <c r="D194" i="33"/>
  <c r="B194" i="33"/>
  <c r="A194" i="33"/>
  <c r="D193" i="33"/>
  <c r="B193" i="33"/>
  <c r="A193" i="33"/>
  <c r="D192" i="33"/>
  <c r="B192" i="33"/>
  <c r="A192" i="33"/>
  <c r="D191" i="33"/>
  <c r="B191" i="33"/>
  <c r="A191" i="33"/>
  <c r="D190" i="33"/>
  <c r="B190" i="33"/>
  <c r="A190" i="33"/>
  <c r="D189" i="33"/>
  <c r="B189" i="33"/>
  <c r="A189" i="33"/>
  <c r="D188" i="33"/>
  <c r="B188" i="33"/>
  <c r="A188" i="33"/>
  <c r="D187" i="33"/>
  <c r="B187" i="33"/>
  <c r="A187" i="33"/>
  <c r="D186" i="33"/>
  <c r="B186" i="33"/>
  <c r="A186" i="33"/>
  <c r="D185" i="33"/>
  <c r="B185" i="33"/>
  <c r="A185" i="33"/>
  <c r="D184" i="33"/>
  <c r="B184" i="33"/>
  <c r="A184" i="33"/>
  <c r="D183" i="33"/>
  <c r="B183" i="33"/>
  <c r="A183" i="33"/>
  <c r="D182" i="33"/>
  <c r="B182" i="33"/>
  <c r="A182" i="33"/>
  <c r="D181" i="33"/>
  <c r="B181" i="33"/>
  <c r="A181" i="33"/>
  <c r="D180" i="33"/>
  <c r="B180" i="33"/>
  <c r="A180" i="33"/>
  <c r="D179" i="33"/>
  <c r="B179" i="33"/>
  <c r="A179" i="33"/>
  <c r="D178" i="33"/>
  <c r="B178" i="33"/>
  <c r="A178" i="33"/>
  <c r="D177" i="33"/>
  <c r="B177" i="33"/>
  <c r="A177" i="33"/>
  <c r="D176" i="33"/>
  <c r="B176" i="33"/>
  <c r="A176" i="33"/>
  <c r="D175" i="33"/>
  <c r="B175" i="33"/>
  <c r="A175" i="33"/>
  <c r="D174" i="33"/>
  <c r="B174" i="33"/>
  <c r="A174" i="33"/>
  <c r="D173" i="33"/>
  <c r="B173" i="33"/>
  <c r="A173" i="33"/>
  <c r="D172" i="33"/>
  <c r="B172" i="33"/>
  <c r="A172" i="33"/>
  <c r="D171" i="33"/>
  <c r="B171" i="33"/>
  <c r="A171" i="33"/>
  <c r="D170" i="33"/>
  <c r="B170" i="33"/>
  <c r="A170" i="33"/>
  <c r="O521" i="35"/>
  <c r="O520" i="35"/>
  <c r="O519" i="35"/>
  <c r="O518" i="35"/>
  <c r="O517" i="35"/>
  <c r="O516" i="35"/>
  <c r="O515" i="35"/>
  <c r="O514" i="35"/>
  <c r="O513" i="35"/>
  <c r="O512" i="35"/>
  <c r="O511" i="35"/>
  <c r="O510" i="35"/>
  <c r="O509" i="35"/>
  <c r="O508" i="35"/>
  <c r="O507" i="35"/>
  <c r="O506" i="35"/>
  <c r="O505" i="35"/>
  <c r="O504" i="35"/>
  <c r="O503" i="35"/>
  <c r="O502" i="35"/>
  <c r="O501" i="35"/>
  <c r="O500" i="35"/>
  <c r="O499" i="35"/>
  <c r="O498" i="35"/>
  <c r="O497" i="35"/>
  <c r="O496" i="35"/>
  <c r="O495" i="35"/>
  <c r="O494" i="35"/>
  <c r="O493" i="35"/>
  <c r="O492" i="35"/>
  <c r="O491" i="35"/>
  <c r="O490" i="35"/>
  <c r="O489" i="35"/>
  <c r="O488" i="35"/>
  <c r="O487" i="35"/>
  <c r="O486" i="35"/>
  <c r="O485" i="35"/>
  <c r="O484" i="35"/>
  <c r="O483" i="35"/>
  <c r="O482" i="35"/>
  <c r="O481" i="35"/>
  <c r="O480" i="35"/>
  <c r="O479" i="35"/>
  <c r="O478" i="35"/>
  <c r="O477" i="35"/>
  <c r="O476" i="35"/>
  <c r="O475" i="35"/>
  <c r="O323" i="35"/>
  <c r="N323" i="35"/>
  <c r="P320" i="35"/>
  <c r="P319" i="35"/>
  <c r="P318" i="35"/>
  <c r="P317" i="35"/>
  <c r="P316" i="35"/>
  <c r="P315" i="35"/>
  <c r="P314" i="35"/>
  <c r="P313" i="35"/>
  <c r="P312" i="35"/>
  <c r="P311" i="35"/>
  <c r="P310" i="35"/>
  <c r="P309" i="35"/>
  <c r="P308" i="35"/>
  <c r="P307" i="35"/>
  <c r="P306" i="35"/>
  <c r="P305" i="35"/>
  <c r="P304" i="35"/>
  <c r="P303" i="35"/>
  <c r="P302" i="35"/>
  <c r="P301" i="35"/>
  <c r="P300" i="35"/>
  <c r="P299" i="35"/>
  <c r="P298" i="35"/>
  <c r="P297" i="35"/>
  <c r="P296" i="35"/>
  <c r="P295" i="35"/>
  <c r="P294" i="35"/>
  <c r="P293" i="35"/>
  <c r="P292" i="35"/>
  <c r="P291" i="35"/>
  <c r="P290" i="35"/>
  <c r="P289" i="35"/>
  <c r="P288" i="35"/>
  <c r="P287" i="35"/>
  <c r="P286" i="35"/>
  <c r="P285" i="35"/>
  <c r="P284" i="35"/>
  <c r="P283" i="35"/>
  <c r="P282" i="35"/>
  <c r="P281" i="35"/>
  <c r="P280" i="35"/>
  <c r="P279" i="35"/>
  <c r="P278" i="35"/>
  <c r="P277" i="35"/>
  <c r="P276" i="35"/>
  <c r="P275" i="35"/>
  <c r="P274" i="35"/>
  <c r="P273" i="35"/>
  <c r="P272" i="35"/>
  <c r="P271" i="35"/>
  <c r="P270" i="35"/>
  <c r="P269" i="35"/>
  <c r="P268" i="35"/>
  <c r="P267" i="35"/>
  <c r="P266" i="35"/>
  <c r="P265" i="35"/>
  <c r="P264" i="35"/>
  <c r="P263" i="35"/>
  <c r="P262" i="35"/>
  <c r="P261" i="35"/>
  <c r="P260" i="35"/>
  <c r="P259" i="35"/>
  <c r="P258" i="35"/>
  <c r="P257" i="35"/>
  <c r="P256" i="35"/>
  <c r="P255" i="35"/>
  <c r="P254" i="35"/>
  <c r="P253" i="35"/>
  <c r="P252" i="35"/>
  <c r="P251" i="35"/>
  <c r="P250" i="35"/>
  <c r="P249" i="35"/>
  <c r="P248" i="35"/>
  <c r="P247" i="35"/>
  <c r="P246" i="35"/>
  <c r="P245" i="35"/>
  <c r="P244" i="35"/>
  <c r="P243" i="35"/>
  <c r="P242" i="35"/>
  <c r="P241" i="35"/>
  <c r="P240" i="35"/>
  <c r="P239" i="35"/>
  <c r="P238" i="35"/>
  <c r="P237" i="35"/>
  <c r="P236" i="35"/>
  <c r="P235" i="35"/>
  <c r="P234" i="35"/>
  <c r="P233" i="35"/>
  <c r="P232" i="35"/>
  <c r="P231" i="35"/>
  <c r="P230" i="35"/>
  <c r="P229" i="35"/>
  <c r="P228" i="35"/>
  <c r="P227" i="35"/>
  <c r="P226" i="35"/>
  <c r="P225" i="35"/>
  <c r="P224" i="35"/>
  <c r="P223" i="35"/>
  <c r="P222" i="35"/>
  <c r="P221" i="35"/>
  <c r="P220" i="35"/>
  <c r="P219" i="35"/>
  <c r="P218" i="35"/>
  <c r="P217" i="35"/>
  <c r="P216" i="35"/>
  <c r="P215" i="35"/>
  <c r="P214" i="35"/>
  <c r="P213" i="35"/>
  <c r="P212" i="35"/>
  <c r="P211" i="35"/>
  <c r="P210" i="35"/>
  <c r="P209" i="35"/>
  <c r="P208" i="35"/>
  <c r="P207" i="35"/>
  <c r="P206" i="35"/>
  <c r="P205" i="35"/>
  <c r="P204" i="35"/>
  <c r="P203" i="35"/>
  <c r="P202" i="35"/>
  <c r="P201" i="35"/>
  <c r="P200" i="35"/>
  <c r="P199" i="35"/>
  <c r="P198" i="35"/>
  <c r="P197" i="35"/>
  <c r="P196" i="35"/>
  <c r="P195" i="35"/>
  <c r="P194" i="35"/>
  <c r="P193" i="35"/>
  <c r="P192" i="35"/>
  <c r="P191" i="35"/>
  <c r="P190" i="35"/>
  <c r="P189" i="35"/>
  <c r="P188" i="35"/>
  <c r="P187" i="35"/>
  <c r="P186" i="35"/>
  <c r="P185" i="35"/>
  <c r="P184" i="35"/>
  <c r="A4" i="32"/>
  <c r="A3" i="32"/>
  <c r="O21" i="34" l="1"/>
  <c r="P21" i="34"/>
  <c r="O20" i="34"/>
  <c r="P20" i="34"/>
  <c r="O19" i="34"/>
  <c r="P19" i="34"/>
  <c r="O18" i="34"/>
  <c r="P18" i="34"/>
  <c r="AH12" i="35" a="1"/>
  <c r="AH12" i="35" s="1"/>
  <c r="O232" i="33"/>
  <c r="O228" i="33"/>
  <c r="O224" i="33"/>
  <c r="O220" i="33"/>
  <c r="O216" i="33"/>
  <c r="O212" i="33"/>
  <c r="O208" i="33"/>
  <c r="O204" i="33"/>
  <c r="O200" i="33"/>
  <c r="O196" i="33"/>
  <c r="O192" i="33"/>
  <c r="O186" i="33"/>
  <c r="O172" i="33"/>
  <c r="O230" i="33"/>
  <c r="O226" i="33"/>
  <c r="O222" i="33"/>
  <c r="O218" i="33"/>
  <c r="O214" i="33"/>
  <c r="O210" i="33"/>
  <c r="O206" i="33"/>
  <c r="O202" i="33"/>
  <c r="O198" i="33"/>
  <c r="O194" i="33"/>
  <c r="O190" i="33"/>
  <c r="O188" i="33"/>
  <c r="O184" i="33"/>
  <c r="O182" i="33"/>
  <c r="O180" i="33"/>
  <c r="O178" i="33"/>
  <c r="O176" i="33"/>
  <c r="O174" i="33"/>
  <c r="O170"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D15" i="5"/>
  <c r="B28" i="20" s="1"/>
  <c r="E15" i="5"/>
  <c r="F15" i="5"/>
  <c r="G15" i="5"/>
  <c r="J9" i="34" l="1"/>
  <c r="D26" i="25" s="1"/>
  <c r="G17" i="25" s="1"/>
  <c r="AI12" i="35"/>
  <c r="T36" i="35"/>
  <c r="B27" i="20"/>
  <c r="B26" i="20"/>
  <c r="AH13" i="35" a="1"/>
  <c r="AH13" i="35" s="1"/>
  <c r="T37" i="35" s="1"/>
  <c r="O324" i="35"/>
  <c r="M324" i="35"/>
  <c r="M323" i="35"/>
  <c r="N78" i="37"/>
  <c r="L78" i="37"/>
  <c r="M78" i="37" s="1"/>
  <c r="N77" i="37"/>
  <c r="L77" i="37"/>
  <c r="M77" i="37" s="1"/>
  <c r="N76" i="37"/>
  <c r="L76" i="37"/>
  <c r="M76" i="37" s="1"/>
  <c r="N75" i="37"/>
  <c r="L75" i="37"/>
  <c r="M75" i="37" s="1"/>
  <c r="N74" i="37"/>
  <c r="L74" i="37"/>
  <c r="M74" i="37" s="1"/>
  <c r="N73" i="37"/>
  <c r="L73" i="37"/>
  <c r="M73" i="37" s="1"/>
  <c r="N72" i="37"/>
  <c r="L72" i="37"/>
  <c r="M72" i="37" s="1"/>
  <c r="N71" i="37"/>
  <c r="L71" i="37"/>
  <c r="M71" i="37" s="1"/>
  <c r="N70" i="37"/>
  <c r="L70" i="37"/>
  <c r="M70" i="37" s="1"/>
  <c r="N69" i="37"/>
  <c r="L69" i="37"/>
  <c r="M69" i="37" s="1"/>
  <c r="N68" i="37"/>
  <c r="L68" i="37"/>
  <c r="M68" i="37" s="1"/>
  <c r="N67" i="37"/>
  <c r="L67" i="37"/>
  <c r="M67" i="37" s="1"/>
  <c r="N66" i="37"/>
  <c r="L66" i="37"/>
  <c r="M66" i="37" s="1"/>
  <c r="N65" i="37"/>
  <c r="L65" i="37"/>
  <c r="M65" i="37" s="1"/>
  <c r="N64" i="37"/>
  <c r="L64" i="37"/>
  <c r="M64" i="37" s="1"/>
  <c r="N63" i="37"/>
  <c r="L63" i="37"/>
  <c r="M63" i="37" s="1"/>
  <c r="N62" i="37"/>
  <c r="L62" i="37"/>
  <c r="M62" i="37" s="1"/>
  <c r="N61" i="37"/>
  <c r="L61" i="37"/>
  <c r="M61" i="37" s="1"/>
  <c r="N60" i="37"/>
  <c r="L60" i="37"/>
  <c r="M60" i="37" s="1"/>
  <c r="N59" i="37"/>
  <c r="L59" i="37"/>
  <c r="M59" i="37" s="1"/>
  <c r="N58" i="37"/>
  <c r="L58" i="37"/>
  <c r="M58" i="37" s="1"/>
  <c r="N57" i="37"/>
  <c r="L57" i="37"/>
  <c r="M57" i="37" s="1"/>
  <c r="N56" i="37"/>
  <c r="L56" i="37"/>
  <c r="M56" i="37" s="1"/>
  <c r="N55" i="37"/>
  <c r="L55" i="37"/>
  <c r="M55" i="37" s="1"/>
  <c r="N54" i="37"/>
  <c r="L54" i="37"/>
  <c r="M54" i="37" s="1"/>
  <c r="N53" i="37"/>
  <c r="L53" i="37"/>
  <c r="M53" i="37" s="1"/>
  <c r="N52" i="37"/>
  <c r="L52" i="37"/>
  <c r="M52" i="37" s="1"/>
  <c r="N51" i="37"/>
  <c r="L51" i="37"/>
  <c r="M51" i="37" s="1"/>
  <c r="N50" i="37"/>
  <c r="L50" i="37"/>
  <c r="M50" i="37" s="1"/>
  <c r="N49" i="37"/>
  <c r="L49" i="37"/>
  <c r="M49" i="37" s="1"/>
  <c r="N44" i="37"/>
  <c r="L44" i="37"/>
  <c r="M44" i="37" s="1"/>
  <c r="N43" i="37"/>
  <c r="L43" i="37"/>
  <c r="M43" i="37" s="1"/>
  <c r="N42" i="37"/>
  <c r="L42" i="37"/>
  <c r="M42" i="37" s="1"/>
  <c r="N41" i="37"/>
  <c r="L41" i="37"/>
  <c r="M41" i="37" s="1"/>
  <c r="N40" i="37"/>
  <c r="L40" i="37"/>
  <c r="M40" i="37" s="1"/>
  <c r="N39" i="37"/>
  <c r="L39" i="37"/>
  <c r="M39" i="37" s="1"/>
  <c r="N38" i="37"/>
  <c r="L38" i="37"/>
  <c r="M38" i="37" s="1"/>
  <c r="N37" i="37"/>
  <c r="L37" i="37"/>
  <c r="M37" i="37" s="1"/>
  <c r="N36" i="37"/>
  <c r="L36" i="37"/>
  <c r="M36" i="37" s="1"/>
  <c r="N35" i="37"/>
  <c r="L35" i="37"/>
  <c r="M35" i="37" s="1"/>
  <c r="N34" i="37"/>
  <c r="L34" i="37"/>
  <c r="M34" i="37" s="1"/>
  <c r="N33" i="37"/>
  <c r="L33" i="37"/>
  <c r="M33" i="37" s="1"/>
  <c r="N32" i="37"/>
  <c r="L32" i="37"/>
  <c r="M32" i="37" s="1"/>
  <c r="N31" i="37"/>
  <c r="L31" i="37"/>
  <c r="M31" i="37" s="1"/>
  <c r="N30" i="37"/>
  <c r="L30" i="37"/>
  <c r="M30" i="37" s="1"/>
  <c r="N29" i="37"/>
  <c r="L29" i="37"/>
  <c r="M29" i="37" s="1"/>
  <c r="N28" i="37"/>
  <c r="L28" i="37"/>
  <c r="M28" i="37" s="1"/>
  <c r="N27" i="37"/>
  <c r="L27" i="37"/>
  <c r="M27" i="37" s="1"/>
  <c r="N26" i="37"/>
  <c r="L26" i="37"/>
  <c r="M26" i="37" s="1"/>
  <c r="N25" i="37"/>
  <c r="L25" i="37"/>
  <c r="M25" i="37" s="1"/>
  <c r="N24" i="37"/>
  <c r="L24" i="37"/>
  <c r="M24" i="37" s="1"/>
  <c r="N23" i="37"/>
  <c r="L23" i="37"/>
  <c r="M23" i="37" s="1"/>
  <c r="N22" i="37"/>
  <c r="L22" i="37"/>
  <c r="M22" i="37" s="1"/>
  <c r="N21" i="37"/>
  <c r="L21" i="37"/>
  <c r="M21" i="37" s="1"/>
  <c r="N20" i="37"/>
  <c r="L20" i="37"/>
  <c r="M20" i="37" s="1"/>
  <c r="N19" i="37"/>
  <c r="L19" i="37"/>
  <c r="M19" i="37" s="1"/>
  <c r="N18" i="37"/>
  <c r="L18" i="37"/>
  <c r="M18" i="37" s="1"/>
  <c r="N17" i="37"/>
  <c r="L17" i="37"/>
  <c r="M17" i="37" s="1"/>
  <c r="N16" i="37"/>
  <c r="L16" i="37"/>
  <c r="M16" i="37" s="1"/>
  <c r="N15" i="37"/>
  <c r="L15" i="37"/>
  <c r="M15" i="37" s="1"/>
  <c r="K7" i="37" l="1"/>
  <c r="D48" i="25" s="1"/>
  <c r="G27" i="25" s="1"/>
  <c r="AI13" i="35"/>
  <c r="AH14" i="35" a="1"/>
  <c r="AH14" i="35" s="1"/>
  <c r="T38" i="35" s="1"/>
  <c r="O17" i="37"/>
  <c r="O18" i="37"/>
  <c r="O19" i="37"/>
  <c r="O21" i="37"/>
  <c r="O25" i="37"/>
  <c r="M51" i="35"/>
  <c r="M47" i="35"/>
  <c r="M40" i="35"/>
  <c r="M36" i="35"/>
  <c r="M46" i="35"/>
  <c r="M50" i="35"/>
  <c r="M35" i="35"/>
  <c r="M39" i="35"/>
  <c r="M23" i="35"/>
  <c r="L23" i="35" s="1"/>
  <c r="M49" i="35"/>
  <c r="M38" i="35"/>
  <c r="M48" i="35"/>
  <c r="M37" i="35"/>
  <c r="O26" i="37"/>
  <c r="O27" i="37"/>
  <c r="O29" i="37"/>
  <c r="O22" i="37"/>
  <c r="O23" i="37"/>
  <c r="O30" i="37"/>
  <c r="O31" i="37"/>
  <c r="O16" i="37"/>
  <c r="O20" i="37"/>
  <c r="O24" i="37"/>
  <c r="O28" i="37"/>
  <c r="O32" i="37"/>
  <c r="O33" i="37"/>
  <c r="O34" i="37"/>
  <c r="O35" i="37"/>
  <c r="O36" i="37"/>
  <c r="O37" i="37"/>
  <c r="O38" i="37"/>
  <c r="O39" i="37"/>
  <c r="O40" i="37"/>
  <c r="O41" i="37"/>
  <c r="O42" i="37"/>
  <c r="O43" i="37"/>
  <c r="O44" i="37"/>
  <c r="O49" i="37"/>
  <c r="O50" i="37"/>
  <c r="O51" i="37"/>
  <c r="O52" i="37"/>
  <c r="O53" i="37"/>
  <c r="O54" i="37"/>
  <c r="O55" i="37"/>
  <c r="O56" i="37"/>
  <c r="O57" i="37"/>
  <c r="O58" i="37"/>
  <c r="O59" i="37"/>
  <c r="O60" i="37"/>
  <c r="O61" i="37"/>
  <c r="O62" i="37"/>
  <c r="O63" i="37"/>
  <c r="O64" i="37"/>
  <c r="O65" i="37"/>
  <c r="O66" i="37"/>
  <c r="O67" i="37"/>
  <c r="O68" i="37"/>
  <c r="O69" i="37"/>
  <c r="O70" i="37"/>
  <c r="O71" i="37"/>
  <c r="O72" i="37"/>
  <c r="O73" i="37"/>
  <c r="O74" i="37"/>
  <c r="O75" i="37"/>
  <c r="O76" i="37"/>
  <c r="O77" i="37"/>
  <c r="O78" i="37"/>
  <c r="K6" i="37"/>
  <c r="D47" i="25" s="1"/>
  <c r="G26" i="25" s="1"/>
  <c r="O15" i="37"/>
  <c r="AH15" i="35" l="1" a="1"/>
  <c r="AH15" i="35" s="1"/>
  <c r="T39" i="35" s="1"/>
  <c r="AI14" i="35"/>
  <c r="L483" i="35"/>
  <c r="L482" i="35"/>
  <c r="L481" i="35"/>
  <c r="L480" i="35"/>
  <c r="L479" i="35"/>
  <c r="L478" i="35"/>
  <c r="L477" i="35"/>
  <c r="L476" i="35"/>
  <c r="L474" i="35"/>
  <c r="L473" i="35"/>
  <c r="L472" i="35"/>
  <c r="L471" i="35"/>
  <c r="L470" i="35"/>
  <c r="L469" i="35"/>
  <c r="L468" i="35"/>
  <c r="L467" i="35"/>
  <c r="L466" i="35"/>
  <c r="L465" i="35"/>
  <c r="L464" i="35"/>
  <c r="L463" i="35"/>
  <c r="L462" i="35"/>
  <c r="L461" i="35"/>
  <c r="L460" i="35"/>
  <c r="L459" i="35"/>
  <c r="L458" i="35"/>
  <c r="L457" i="35"/>
  <c r="L456" i="35"/>
  <c r="L455" i="35"/>
  <c r="L454" i="35"/>
  <c r="L453" i="35"/>
  <c r="L452" i="35"/>
  <c r="L451" i="35"/>
  <c r="L450" i="35"/>
  <c r="L449" i="35"/>
  <c r="L448" i="35"/>
  <c r="L447" i="35"/>
  <c r="L446" i="35"/>
  <c r="L445" i="35"/>
  <c r="L444" i="35"/>
  <c r="L443" i="35"/>
  <c r="L442" i="35"/>
  <c r="L441" i="35"/>
  <c r="L440" i="35"/>
  <c r="L439" i="35"/>
  <c r="L438" i="35"/>
  <c r="L437" i="35"/>
  <c r="L436" i="35"/>
  <c r="L435" i="35"/>
  <c r="L434" i="35"/>
  <c r="L433" i="35"/>
  <c r="L432" i="35"/>
  <c r="L431" i="35"/>
  <c r="L430" i="35"/>
  <c r="L429" i="35"/>
  <c r="L428" i="35"/>
  <c r="L427" i="35"/>
  <c r="L426" i="35"/>
  <c r="L425" i="35"/>
  <c r="L424" i="35"/>
  <c r="L423" i="35"/>
  <c r="L422" i="35"/>
  <c r="L421" i="35"/>
  <c r="L420" i="35"/>
  <c r="L419" i="35"/>
  <c r="L418" i="35"/>
  <c r="L417" i="35"/>
  <c r="L416" i="35"/>
  <c r="L415" i="35"/>
  <c r="L414" i="35"/>
  <c r="L413" i="35"/>
  <c r="L412" i="35"/>
  <c r="L411" i="35"/>
  <c r="L410" i="35"/>
  <c r="L409" i="35"/>
  <c r="L408" i="35"/>
  <c r="L407" i="35"/>
  <c r="L406" i="35"/>
  <c r="L405" i="35"/>
  <c r="L404" i="35"/>
  <c r="L403" i="35"/>
  <c r="L402" i="35"/>
  <c r="L401" i="35"/>
  <c r="L400" i="35"/>
  <c r="L399" i="35"/>
  <c r="L398" i="35"/>
  <c r="L397" i="35"/>
  <c r="L396" i="35"/>
  <c r="L395" i="35"/>
  <c r="L394" i="35"/>
  <c r="L393" i="35"/>
  <c r="L392" i="35"/>
  <c r="L391" i="35"/>
  <c r="L390" i="35"/>
  <c r="L389" i="35"/>
  <c r="L388" i="35"/>
  <c r="L387" i="35"/>
  <c r="L386" i="35"/>
  <c r="L385" i="35"/>
  <c r="L384" i="35"/>
  <c r="L383" i="35"/>
  <c r="L382" i="35"/>
  <c r="L381" i="35"/>
  <c r="L380" i="35"/>
  <c r="L379" i="35"/>
  <c r="L378" i="35"/>
  <c r="L377" i="35"/>
  <c r="L376" i="35"/>
  <c r="L375" i="35"/>
  <c r="L374" i="35"/>
  <c r="L373" i="35"/>
  <c r="L372" i="35"/>
  <c r="L371" i="35"/>
  <c r="L370" i="35"/>
  <c r="L369" i="35"/>
  <c r="L368" i="35"/>
  <c r="L367" i="35"/>
  <c r="L366" i="35"/>
  <c r="L365" i="35"/>
  <c r="L364" i="35"/>
  <c r="L363" i="35"/>
  <c r="L362" i="35"/>
  <c r="L361" i="35"/>
  <c r="L360" i="35"/>
  <c r="L359" i="35"/>
  <c r="L358" i="35"/>
  <c r="L357" i="35"/>
  <c r="L356" i="35"/>
  <c r="L355" i="35"/>
  <c r="L354" i="35"/>
  <c r="L353" i="35"/>
  <c r="L352" i="35"/>
  <c r="L351" i="35"/>
  <c r="L350" i="35"/>
  <c r="L349" i="35"/>
  <c r="L348" i="35"/>
  <c r="L347" i="35"/>
  <c r="L346" i="35"/>
  <c r="L345" i="35"/>
  <c r="L344" i="35"/>
  <c r="L343" i="35"/>
  <c r="L342" i="35"/>
  <c r="L341" i="35"/>
  <c r="L340" i="35"/>
  <c r="L339" i="35"/>
  <c r="L338" i="35"/>
  <c r="L337" i="35"/>
  <c r="L336" i="35"/>
  <c r="L335" i="35"/>
  <c r="L334" i="35"/>
  <c r="L333" i="35"/>
  <c r="L332" i="35"/>
  <c r="L331" i="35"/>
  <c r="L330" i="35"/>
  <c r="L329" i="35"/>
  <c r="L328" i="35"/>
  <c r="L323" i="35"/>
  <c r="L322" i="35"/>
  <c r="L320" i="35"/>
  <c r="L319" i="35"/>
  <c r="L318" i="35"/>
  <c r="L317" i="35"/>
  <c r="L316" i="35"/>
  <c r="L315" i="35"/>
  <c r="L314" i="35"/>
  <c r="L313" i="35"/>
  <c r="L312" i="35"/>
  <c r="L311" i="35"/>
  <c r="L310" i="35"/>
  <c r="L309" i="35"/>
  <c r="L308" i="35"/>
  <c r="L307" i="35"/>
  <c r="L306" i="35"/>
  <c r="L305" i="35"/>
  <c r="L304" i="35"/>
  <c r="L303" i="35"/>
  <c r="L302" i="35"/>
  <c r="L301" i="35"/>
  <c r="L300" i="35"/>
  <c r="L299" i="35"/>
  <c r="L298" i="35"/>
  <c r="L297" i="35"/>
  <c r="L296" i="35"/>
  <c r="L295" i="35"/>
  <c r="L294" i="35"/>
  <c r="L293" i="35"/>
  <c r="L292" i="35"/>
  <c r="L291" i="35"/>
  <c r="L290" i="35"/>
  <c r="L289" i="35"/>
  <c r="L288" i="35"/>
  <c r="L287" i="35"/>
  <c r="L286" i="35"/>
  <c r="L285" i="35"/>
  <c r="L284" i="35"/>
  <c r="L283" i="35"/>
  <c r="L282" i="35"/>
  <c r="L281" i="35"/>
  <c r="L280" i="35"/>
  <c r="L279" i="35"/>
  <c r="L278" i="35"/>
  <c r="L277" i="35"/>
  <c r="L276" i="35"/>
  <c r="L275" i="35"/>
  <c r="L274" i="35"/>
  <c r="L273" i="35"/>
  <c r="L272" i="35"/>
  <c r="L271" i="35"/>
  <c r="L270" i="35"/>
  <c r="L269" i="35"/>
  <c r="L268" i="35"/>
  <c r="L267" i="35"/>
  <c r="L266" i="35"/>
  <c r="L265" i="35"/>
  <c r="L264" i="35"/>
  <c r="L263" i="35"/>
  <c r="L262" i="35"/>
  <c r="L261" i="35"/>
  <c r="L260" i="35"/>
  <c r="L259" i="35"/>
  <c r="L258" i="35"/>
  <c r="L257" i="35"/>
  <c r="L256" i="35"/>
  <c r="L255" i="35"/>
  <c r="L254" i="35"/>
  <c r="L253" i="35"/>
  <c r="L252" i="35"/>
  <c r="L251" i="35"/>
  <c r="L250" i="35"/>
  <c r="L249" i="35"/>
  <c r="L248" i="35"/>
  <c r="L247" i="35"/>
  <c r="L246" i="35"/>
  <c r="L245" i="35"/>
  <c r="L244" i="35"/>
  <c r="L243" i="35"/>
  <c r="L242" i="35"/>
  <c r="L241" i="35"/>
  <c r="L240" i="35"/>
  <c r="L239" i="35"/>
  <c r="L238" i="35"/>
  <c r="L237" i="35"/>
  <c r="L236" i="35"/>
  <c r="L235" i="35"/>
  <c r="L234" i="35"/>
  <c r="L233" i="35"/>
  <c r="L232" i="35"/>
  <c r="L231" i="35"/>
  <c r="L230" i="35"/>
  <c r="L229" i="35"/>
  <c r="L228" i="35"/>
  <c r="L227" i="35"/>
  <c r="L226" i="35"/>
  <c r="L225" i="35"/>
  <c r="L224" i="35"/>
  <c r="L223" i="35"/>
  <c r="L222" i="35"/>
  <c r="L221" i="35"/>
  <c r="L220" i="35"/>
  <c r="L219" i="35"/>
  <c r="L218" i="35"/>
  <c r="L217" i="35"/>
  <c r="L216" i="35"/>
  <c r="L215" i="35"/>
  <c r="L214" i="35"/>
  <c r="L213" i="35"/>
  <c r="L212" i="35"/>
  <c r="L211" i="35"/>
  <c r="L210" i="35"/>
  <c r="L209" i="35"/>
  <c r="L208" i="35"/>
  <c r="L207" i="35"/>
  <c r="L206" i="35"/>
  <c r="L205" i="35"/>
  <c r="L204" i="35"/>
  <c r="L203" i="35"/>
  <c r="L202" i="35"/>
  <c r="L201" i="35"/>
  <c r="L199" i="35"/>
  <c r="L198" i="35"/>
  <c r="L197" i="35"/>
  <c r="L196" i="35"/>
  <c r="L195" i="35"/>
  <c r="L194" i="35"/>
  <c r="L192" i="35"/>
  <c r="L191" i="35"/>
  <c r="L190" i="35"/>
  <c r="L189" i="35"/>
  <c r="L188" i="35"/>
  <c r="L185" i="35"/>
  <c r="L183" i="35"/>
  <c r="L182" i="35"/>
  <c r="L181" i="35"/>
  <c r="L180" i="35"/>
  <c r="L179" i="35"/>
  <c r="L178" i="35"/>
  <c r="L177" i="35"/>
  <c r="L176" i="35"/>
  <c r="L175" i="35"/>
  <c r="L174" i="35"/>
  <c r="L173" i="35"/>
  <c r="L172" i="35"/>
  <c r="L171" i="35"/>
  <c r="L170" i="35"/>
  <c r="L169" i="35"/>
  <c r="L168" i="35"/>
  <c r="L167" i="35"/>
  <c r="L166" i="35"/>
  <c r="L165" i="35"/>
  <c r="L164" i="35"/>
  <c r="L163" i="35"/>
  <c r="L162" i="35"/>
  <c r="L161" i="35"/>
  <c r="L160" i="35"/>
  <c r="L159" i="35"/>
  <c r="L158" i="35"/>
  <c r="L157" i="35"/>
  <c r="L156" i="35"/>
  <c r="L155" i="35"/>
  <c r="L154" i="35"/>
  <c r="L153" i="35"/>
  <c r="L152" i="35"/>
  <c r="L151" i="35"/>
  <c r="L150" i="35"/>
  <c r="L149" i="35"/>
  <c r="L148" i="35"/>
  <c r="L147" i="35"/>
  <c r="L146" i="35"/>
  <c r="L145" i="35"/>
  <c r="L144" i="35"/>
  <c r="L143" i="35"/>
  <c r="L142" i="35"/>
  <c r="L141" i="35"/>
  <c r="L140" i="35"/>
  <c r="L139" i="35"/>
  <c r="L138" i="35"/>
  <c r="L137" i="35"/>
  <c r="L136" i="35"/>
  <c r="L135" i="35"/>
  <c r="L134" i="35"/>
  <c r="L133" i="35"/>
  <c r="L132" i="35"/>
  <c r="L131" i="35"/>
  <c r="L130" i="35"/>
  <c r="L129" i="35"/>
  <c r="L128" i="35"/>
  <c r="L127" i="35"/>
  <c r="L126" i="35"/>
  <c r="L125" i="35"/>
  <c r="L124" i="35"/>
  <c r="L123" i="35"/>
  <c r="L122" i="35"/>
  <c r="L121" i="35"/>
  <c r="L120" i="35"/>
  <c r="L119" i="35"/>
  <c r="L118" i="35"/>
  <c r="L117" i="35"/>
  <c r="L116" i="35"/>
  <c r="L115" i="35"/>
  <c r="L114" i="35"/>
  <c r="L113" i="35"/>
  <c r="L112" i="35"/>
  <c r="L111" i="35"/>
  <c r="L110" i="35"/>
  <c r="L109" i="35"/>
  <c r="L108" i="35"/>
  <c r="L107" i="35"/>
  <c r="L106" i="35"/>
  <c r="L105" i="35"/>
  <c r="L104" i="35"/>
  <c r="L103" i="35"/>
  <c r="L102" i="35"/>
  <c r="L101" i="35"/>
  <c r="L100" i="35"/>
  <c r="L99" i="35"/>
  <c r="L98" i="35"/>
  <c r="L97" i="35"/>
  <c r="L96" i="35"/>
  <c r="L95" i="35"/>
  <c r="L94" i="35"/>
  <c r="L93" i="35"/>
  <c r="L92" i="35"/>
  <c r="L91" i="35"/>
  <c r="L90" i="35"/>
  <c r="L89" i="35"/>
  <c r="L88" i="35"/>
  <c r="L87" i="35"/>
  <c r="L86" i="35"/>
  <c r="L85" i="35"/>
  <c r="L84" i="35"/>
  <c r="L83" i="35"/>
  <c r="L82" i="35"/>
  <c r="L81" i="35"/>
  <c r="L80" i="35"/>
  <c r="L79" i="35"/>
  <c r="L78" i="35"/>
  <c r="L77" i="35"/>
  <c r="L76" i="35"/>
  <c r="L75" i="35"/>
  <c r="L74" i="35"/>
  <c r="L73" i="35"/>
  <c r="L72" i="35"/>
  <c r="L71" i="35"/>
  <c r="L70" i="35"/>
  <c r="L69" i="35"/>
  <c r="L68" i="35"/>
  <c r="L67" i="35"/>
  <c r="L66" i="35"/>
  <c r="L65" i="35"/>
  <c r="L64" i="35"/>
  <c r="L63" i="35"/>
  <c r="L62" i="35"/>
  <c r="L61" i="35"/>
  <c r="L60" i="35"/>
  <c r="L59" i="35"/>
  <c r="L58" i="35"/>
  <c r="AG11" i="35"/>
  <c r="V168" i="33"/>
  <c r="W168" i="33" s="1"/>
  <c r="U168" i="33"/>
  <c r="R168" i="33"/>
  <c r="V167" i="33"/>
  <c r="W167" i="33" s="1"/>
  <c r="U167" i="33"/>
  <c r="R167" i="33"/>
  <c r="V166" i="33"/>
  <c r="W166" i="33" s="1"/>
  <c r="U166" i="33"/>
  <c r="R166" i="33"/>
  <c r="V165" i="33"/>
  <c r="W165" i="33" s="1"/>
  <c r="U165" i="33"/>
  <c r="R165" i="33"/>
  <c r="V164" i="33"/>
  <c r="W164" i="33" s="1"/>
  <c r="U164" i="33"/>
  <c r="R164" i="33"/>
  <c r="V163" i="33"/>
  <c r="W163" i="33" s="1"/>
  <c r="U163" i="33"/>
  <c r="R163" i="33"/>
  <c r="V162" i="33"/>
  <c r="W162" i="33" s="1"/>
  <c r="U162" i="33"/>
  <c r="R162" i="33"/>
  <c r="V161" i="33"/>
  <c r="W161" i="33" s="1"/>
  <c r="U161" i="33"/>
  <c r="R161" i="33"/>
  <c r="V160" i="33"/>
  <c r="W160" i="33" s="1"/>
  <c r="U160" i="33"/>
  <c r="R160" i="33"/>
  <c r="V159" i="33"/>
  <c r="W159" i="33" s="1"/>
  <c r="U159" i="33"/>
  <c r="R159" i="33"/>
  <c r="V158" i="33"/>
  <c r="W158" i="33" s="1"/>
  <c r="U158" i="33"/>
  <c r="R158" i="33"/>
  <c r="V157" i="33"/>
  <c r="W157" i="33" s="1"/>
  <c r="U157" i="33"/>
  <c r="R157" i="33"/>
  <c r="V156" i="33"/>
  <c r="W156" i="33" s="1"/>
  <c r="U156" i="33"/>
  <c r="R156" i="33"/>
  <c r="V155" i="33"/>
  <c r="W155" i="33" s="1"/>
  <c r="U155" i="33"/>
  <c r="R155" i="33"/>
  <c r="V154" i="33"/>
  <c r="W154" i="33" s="1"/>
  <c r="U154" i="33"/>
  <c r="R154" i="33"/>
  <c r="V153" i="33"/>
  <c r="W153" i="33" s="1"/>
  <c r="U153" i="33"/>
  <c r="R153" i="33"/>
  <c r="V152" i="33"/>
  <c r="W152" i="33" s="1"/>
  <c r="U152" i="33"/>
  <c r="R152" i="33"/>
  <c r="V151" i="33"/>
  <c r="W151" i="33" s="1"/>
  <c r="U151" i="33"/>
  <c r="R151" i="33"/>
  <c r="V150" i="33"/>
  <c r="W150" i="33" s="1"/>
  <c r="U150" i="33"/>
  <c r="R150" i="33"/>
  <c r="V149" i="33"/>
  <c r="W149" i="33" s="1"/>
  <c r="U149" i="33"/>
  <c r="R149" i="33"/>
  <c r="V148" i="33"/>
  <c r="W148" i="33" s="1"/>
  <c r="U148" i="33"/>
  <c r="R148" i="33"/>
  <c r="V147" i="33"/>
  <c r="W147" i="33" s="1"/>
  <c r="U147" i="33"/>
  <c r="R147" i="33"/>
  <c r="V146" i="33"/>
  <c r="W146" i="33" s="1"/>
  <c r="U146" i="33"/>
  <c r="R146" i="33"/>
  <c r="V145" i="33"/>
  <c r="W145" i="33" s="1"/>
  <c r="U145" i="33"/>
  <c r="R145" i="33"/>
  <c r="V144" i="33"/>
  <c r="W144" i="33" s="1"/>
  <c r="U144" i="33"/>
  <c r="R144" i="33"/>
  <c r="V143" i="33"/>
  <c r="W143" i="33" s="1"/>
  <c r="U143" i="33"/>
  <c r="R143" i="33"/>
  <c r="V142" i="33"/>
  <c r="W142" i="33" s="1"/>
  <c r="U142" i="33"/>
  <c r="R142" i="33"/>
  <c r="V141" i="33"/>
  <c r="W141" i="33" s="1"/>
  <c r="U141" i="33"/>
  <c r="R141" i="33"/>
  <c r="V140" i="33"/>
  <c r="W140" i="33" s="1"/>
  <c r="U140" i="33"/>
  <c r="R140" i="33"/>
  <c r="V139" i="33"/>
  <c r="W139" i="33" s="1"/>
  <c r="U139" i="33"/>
  <c r="R139" i="33"/>
  <c r="V138" i="33"/>
  <c r="W138" i="33" s="1"/>
  <c r="U138" i="33"/>
  <c r="R138" i="33"/>
  <c r="V137" i="33"/>
  <c r="W137" i="33" s="1"/>
  <c r="U137" i="33"/>
  <c r="R137" i="33"/>
  <c r="V136" i="33"/>
  <c r="W136" i="33" s="1"/>
  <c r="U136" i="33"/>
  <c r="R136" i="33"/>
  <c r="V135" i="33"/>
  <c r="W135" i="33" s="1"/>
  <c r="U135" i="33"/>
  <c r="R135" i="33"/>
  <c r="V134" i="33"/>
  <c r="W134" i="33" s="1"/>
  <c r="U134" i="33"/>
  <c r="R134" i="33"/>
  <c r="V133" i="33"/>
  <c r="W133" i="33" s="1"/>
  <c r="U133" i="33"/>
  <c r="R133" i="33"/>
  <c r="V132" i="33"/>
  <c r="W132" i="33" s="1"/>
  <c r="U132" i="33"/>
  <c r="R132" i="33"/>
  <c r="V131" i="33"/>
  <c r="W131" i="33" s="1"/>
  <c r="U131" i="33"/>
  <c r="R131" i="33"/>
  <c r="V130" i="33"/>
  <c r="W130" i="33" s="1"/>
  <c r="U130" i="33"/>
  <c r="R130" i="33"/>
  <c r="V129" i="33"/>
  <c r="W129" i="33" s="1"/>
  <c r="U129" i="33"/>
  <c r="R129" i="33"/>
  <c r="V128" i="33"/>
  <c r="W128" i="33" s="1"/>
  <c r="U128" i="33"/>
  <c r="R128" i="33"/>
  <c r="V127" i="33"/>
  <c r="W127" i="33" s="1"/>
  <c r="U127" i="33"/>
  <c r="R127" i="33"/>
  <c r="V126" i="33"/>
  <c r="W126" i="33" s="1"/>
  <c r="U126" i="33"/>
  <c r="R126" i="33"/>
  <c r="V125" i="33"/>
  <c r="W125" i="33" s="1"/>
  <c r="U125" i="33"/>
  <c r="R125" i="33"/>
  <c r="V124" i="33"/>
  <c r="W124" i="33" s="1"/>
  <c r="U124" i="33"/>
  <c r="R124" i="33"/>
  <c r="V123" i="33"/>
  <c r="W123" i="33" s="1"/>
  <c r="U123" i="33"/>
  <c r="R123" i="33"/>
  <c r="V122" i="33"/>
  <c r="W122" i="33" s="1"/>
  <c r="U122" i="33"/>
  <c r="R122" i="33"/>
  <c r="V121" i="33"/>
  <c r="W121" i="33" s="1"/>
  <c r="U121" i="33"/>
  <c r="R121" i="33"/>
  <c r="V120" i="33"/>
  <c r="W120" i="33" s="1"/>
  <c r="U120" i="33"/>
  <c r="R120" i="33"/>
  <c r="V119" i="33"/>
  <c r="W119" i="33" s="1"/>
  <c r="U119" i="33"/>
  <c r="R119" i="33"/>
  <c r="V118" i="33"/>
  <c r="W118" i="33" s="1"/>
  <c r="U118" i="33"/>
  <c r="R118" i="33"/>
  <c r="V117" i="33"/>
  <c r="W117" i="33" s="1"/>
  <c r="U117" i="33"/>
  <c r="R117" i="33"/>
  <c r="V116" i="33"/>
  <c r="W116" i="33" s="1"/>
  <c r="U116" i="33"/>
  <c r="R116" i="33"/>
  <c r="V115" i="33"/>
  <c r="W115" i="33" s="1"/>
  <c r="U115" i="33"/>
  <c r="R115" i="33"/>
  <c r="V114" i="33"/>
  <c r="W114" i="33" s="1"/>
  <c r="U114" i="33"/>
  <c r="R114" i="33"/>
  <c r="V113" i="33"/>
  <c r="W113" i="33" s="1"/>
  <c r="U113" i="33"/>
  <c r="R113" i="33"/>
  <c r="V112" i="33"/>
  <c r="W112" i="33" s="1"/>
  <c r="U112" i="33"/>
  <c r="R112" i="33"/>
  <c r="V111" i="33"/>
  <c r="W111" i="33" s="1"/>
  <c r="U111" i="33"/>
  <c r="R111" i="33"/>
  <c r="V110" i="33"/>
  <c r="W110" i="33" s="1"/>
  <c r="U110" i="33"/>
  <c r="R110" i="33"/>
  <c r="V109" i="33"/>
  <c r="W109" i="33" s="1"/>
  <c r="U109" i="33"/>
  <c r="R109" i="33"/>
  <c r="V108" i="33"/>
  <c r="W108" i="33" s="1"/>
  <c r="U108" i="33"/>
  <c r="R108" i="33"/>
  <c r="V107" i="33"/>
  <c r="W107" i="33" s="1"/>
  <c r="U107" i="33"/>
  <c r="R107" i="33"/>
  <c r="V106" i="33"/>
  <c r="W106" i="33" s="1"/>
  <c r="U106" i="33"/>
  <c r="R106" i="33"/>
  <c r="V105" i="33"/>
  <c r="W105" i="33" s="1"/>
  <c r="U105" i="33"/>
  <c r="R105" i="33"/>
  <c r="V104" i="33"/>
  <c r="W104" i="33" s="1"/>
  <c r="U104" i="33"/>
  <c r="R104" i="33"/>
  <c r="V103" i="33"/>
  <c r="W103" i="33" s="1"/>
  <c r="U103" i="33"/>
  <c r="R103" i="33"/>
  <c r="V102" i="33"/>
  <c r="W102" i="33" s="1"/>
  <c r="U102" i="33"/>
  <c r="R102" i="33"/>
  <c r="V101" i="33"/>
  <c r="W101" i="33" s="1"/>
  <c r="U101" i="33"/>
  <c r="R101" i="33"/>
  <c r="V100" i="33"/>
  <c r="W100" i="33" s="1"/>
  <c r="U100" i="33"/>
  <c r="R100" i="33"/>
  <c r="V99" i="33"/>
  <c r="W99" i="33" s="1"/>
  <c r="U99" i="33"/>
  <c r="R99" i="33"/>
  <c r="V98" i="33"/>
  <c r="W98" i="33" s="1"/>
  <c r="U98" i="33"/>
  <c r="R98" i="33"/>
  <c r="V97" i="33"/>
  <c r="W97" i="33" s="1"/>
  <c r="U97" i="33"/>
  <c r="R97" i="33"/>
  <c r="V96" i="33"/>
  <c r="W96" i="33" s="1"/>
  <c r="U96" i="33"/>
  <c r="R96" i="33"/>
  <c r="V95" i="33"/>
  <c r="W95" i="33" s="1"/>
  <c r="U95" i="33"/>
  <c r="R95" i="33"/>
  <c r="V94" i="33"/>
  <c r="W94" i="33" s="1"/>
  <c r="U94" i="33"/>
  <c r="R94" i="33"/>
  <c r="V93" i="33"/>
  <c r="W93" i="33" s="1"/>
  <c r="U93" i="33"/>
  <c r="R93" i="33"/>
  <c r="V92" i="33"/>
  <c r="W92" i="33" s="1"/>
  <c r="U92" i="33"/>
  <c r="R92" i="33"/>
  <c r="V91" i="33"/>
  <c r="W91" i="33" s="1"/>
  <c r="U91" i="33"/>
  <c r="R91" i="33"/>
  <c r="V90" i="33"/>
  <c r="W90" i="33" s="1"/>
  <c r="U90" i="33"/>
  <c r="R90" i="33"/>
  <c r="V89" i="33"/>
  <c r="W89" i="33" s="1"/>
  <c r="U89" i="33"/>
  <c r="R89" i="33"/>
  <c r="V88" i="33"/>
  <c r="W88" i="33" s="1"/>
  <c r="U88" i="33"/>
  <c r="R88" i="33"/>
  <c r="V87" i="33"/>
  <c r="W87" i="33" s="1"/>
  <c r="U87" i="33"/>
  <c r="R87" i="33"/>
  <c r="V86" i="33"/>
  <c r="W86" i="33" s="1"/>
  <c r="U86" i="33"/>
  <c r="R86" i="33"/>
  <c r="V85" i="33"/>
  <c r="W85" i="33" s="1"/>
  <c r="U85" i="33"/>
  <c r="R85" i="33"/>
  <c r="V84" i="33"/>
  <c r="W84" i="33" s="1"/>
  <c r="U84" i="33"/>
  <c r="R84" i="33"/>
  <c r="V83" i="33"/>
  <c r="W83" i="33" s="1"/>
  <c r="U83" i="33"/>
  <c r="R83" i="33"/>
  <c r="V82" i="33"/>
  <c r="W82" i="33" s="1"/>
  <c r="U82" i="33"/>
  <c r="R82" i="33"/>
  <c r="V81" i="33"/>
  <c r="W81" i="33" s="1"/>
  <c r="U81" i="33"/>
  <c r="R81" i="33"/>
  <c r="V80" i="33"/>
  <c r="W80" i="33" s="1"/>
  <c r="U80" i="33"/>
  <c r="R80" i="33"/>
  <c r="V79" i="33"/>
  <c r="W79" i="33" s="1"/>
  <c r="U79" i="33"/>
  <c r="R79" i="33"/>
  <c r="V78" i="33"/>
  <c r="W78" i="33" s="1"/>
  <c r="U78" i="33"/>
  <c r="R78" i="33"/>
  <c r="V77" i="33"/>
  <c r="W77" i="33" s="1"/>
  <c r="U77" i="33"/>
  <c r="R77" i="33"/>
  <c r="V76" i="33"/>
  <c r="W76" i="33" s="1"/>
  <c r="U76" i="33"/>
  <c r="R76" i="33"/>
  <c r="V75" i="33"/>
  <c r="W75" i="33" s="1"/>
  <c r="U75" i="33"/>
  <c r="R75" i="33"/>
  <c r="V74" i="33"/>
  <c r="W74" i="33" s="1"/>
  <c r="U74" i="33"/>
  <c r="R74" i="33"/>
  <c r="V73" i="33"/>
  <c r="W73" i="33" s="1"/>
  <c r="U73" i="33"/>
  <c r="R73" i="33"/>
  <c r="V72" i="33"/>
  <c r="W72" i="33" s="1"/>
  <c r="U72" i="33"/>
  <c r="R72" i="33"/>
  <c r="V71" i="33"/>
  <c r="W71" i="33" s="1"/>
  <c r="U71" i="33"/>
  <c r="R71" i="33"/>
  <c r="V70" i="33"/>
  <c r="W70" i="33" s="1"/>
  <c r="U70" i="33"/>
  <c r="R70" i="33"/>
  <c r="V69" i="33"/>
  <c r="W69" i="33" s="1"/>
  <c r="U69" i="33"/>
  <c r="R69" i="33"/>
  <c r="V68" i="33"/>
  <c r="W68" i="33" s="1"/>
  <c r="U68" i="33"/>
  <c r="R68" i="33"/>
  <c r="V67" i="33"/>
  <c r="W67" i="33" s="1"/>
  <c r="U67" i="33"/>
  <c r="R67" i="33"/>
  <c r="V66" i="33"/>
  <c r="W66" i="33" s="1"/>
  <c r="U66" i="33"/>
  <c r="R66" i="33"/>
  <c r="V65" i="33"/>
  <c r="W65" i="33" s="1"/>
  <c r="U65" i="33"/>
  <c r="R65" i="33"/>
  <c r="V64" i="33"/>
  <c r="W64" i="33" s="1"/>
  <c r="U64" i="33"/>
  <c r="R64" i="33"/>
  <c r="V63" i="33"/>
  <c r="W63" i="33" s="1"/>
  <c r="U63" i="33"/>
  <c r="R63" i="33"/>
  <c r="V62" i="33"/>
  <c r="W62" i="33" s="1"/>
  <c r="U62" i="33"/>
  <c r="R62" i="33"/>
  <c r="V61" i="33"/>
  <c r="W61" i="33" s="1"/>
  <c r="U61" i="33"/>
  <c r="R61" i="33"/>
  <c r="V60" i="33"/>
  <c r="W60" i="33" s="1"/>
  <c r="U60" i="33"/>
  <c r="R60" i="33"/>
  <c r="V59" i="33"/>
  <c r="W59" i="33" s="1"/>
  <c r="U59" i="33"/>
  <c r="R59" i="33"/>
  <c r="V58" i="33"/>
  <c r="W58" i="33" s="1"/>
  <c r="U58" i="33"/>
  <c r="R58" i="33"/>
  <c r="V57" i="33"/>
  <c r="W57" i="33" s="1"/>
  <c r="U57" i="33"/>
  <c r="R57" i="33"/>
  <c r="V56" i="33"/>
  <c r="W56" i="33" s="1"/>
  <c r="U56" i="33"/>
  <c r="R56" i="33"/>
  <c r="V55" i="33"/>
  <c r="W55" i="33" s="1"/>
  <c r="U55" i="33"/>
  <c r="R55" i="33"/>
  <c r="V54" i="33"/>
  <c r="W54" i="33" s="1"/>
  <c r="U54" i="33"/>
  <c r="R54" i="33"/>
  <c r="V53" i="33"/>
  <c r="W53" i="33" s="1"/>
  <c r="U53" i="33"/>
  <c r="R53" i="33"/>
  <c r="V52" i="33"/>
  <c r="W52" i="33" s="1"/>
  <c r="U52" i="33"/>
  <c r="R52" i="33"/>
  <c r="V51" i="33"/>
  <c r="W51" i="33" s="1"/>
  <c r="U51" i="33"/>
  <c r="R51" i="33"/>
  <c r="V50" i="33"/>
  <c r="W50" i="33" s="1"/>
  <c r="U50" i="33"/>
  <c r="R50" i="33"/>
  <c r="V49" i="33"/>
  <c r="W49" i="33" s="1"/>
  <c r="U49" i="33"/>
  <c r="R49" i="33"/>
  <c r="V48" i="33"/>
  <c r="W48" i="33" s="1"/>
  <c r="U48" i="33"/>
  <c r="R48" i="33"/>
  <c r="V47" i="33"/>
  <c r="W47" i="33" s="1"/>
  <c r="U47" i="33"/>
  <c r="R47" i="33"/>
  <c r="V46" i="33"/>
  <c r="W46" i="33" s="1"/>
  <c r="U46" i="33"/>
  <c r="R46" i="33"/>
  <c r="V45" i="33"/>
  <c r="W45" i="33" s="1"/>
  <c r="U45" i="33"/>
  <c r="R45" i="33"/>
  <c r="V44" i="33"/>
  <c r="W44" i="33" s="1"/>
  <c r="U44" i="33"/>
  <c r="R44" i="33"/>
  <c r="V43" i="33"/>
  <c r="W43" i="33" s="1"/>
  <c r="U43" i="33"/>
  <c r="R43" i="33"/>
  <c r="V42" i="33"/>
  <c r="W42" i="33" s="1"/>
  <c r="U42" i="33"/>
  <c r="R42" i="33"/>
  <c r="V41" i="33"/>
  <c r="W41" i="33" s="1"/>
  <c r="U41" i="33"/>
  <c r="R41" i="33"/>
  <c r="V40" i="33"/>
  <c r="W40" i="33" s="1"/>
  <c r="U40" i="33"/>
  <c r="R40" i="33"/>
  <c r="V39" i="33"/>
  <c r="W39" i="33" s="1"/>
  <c r="U39" i="33"/>
  <c r="R39" i="33"/>
  <c r="V38" i="33"/>
  <c r="W38" i="33" s="1"/>
  <c r="U38" i="33"/>
  <c r="R38" i="33"/>
  <c r="V37" i="33"/>
  <c r="W37" i="33" s="1"/>
  <c r="U37" i="33"/>
  <c r="R37" i="33"/>
  <c r="V36" i="33"/>
  <c r="W36" i="33" s="1"/>
  <c r="U36" i="33"/>
  <c r="R36" i="33"/>
  <c r="V35" i="33"/>
  <c r="W35" i="33" s="1"/>
  <c r="R35" i="33"/>
  <c r="V34" i="33"/>
  <c r="W34" i="33" s="1"/>
  <c r="U34" i="33"/>
  <c r="R34" i="33"/>
  <c r="V33" i="33"/>
  <c r="W33" i="33" s="1"/>
  <c r="U33" i="33"/>
  <c r="R33" i="33"/>
  <c r="V32" i="33"/>
  <c r="W32" i="33" s="1"/>
  <c r="U32" i="33"/>
  <c r="R32" i="33"/>
  <c r="V31" i="33"/>
  <c r="W31" i="33" s="1"/>
  <c r="U31" i="33"/>
  <c r="R31" i="33"/>
  <c r="V30" i="33"/>
  <c r="W30" i="33" s="1"/>
  <c r="U30" i="33"/>
  <c r="R30" i="33"/>
  <c r="V29" i="33"/>
  <c r="W29" i="33" s="1"/>
  <c r="U29" i="33"/>
  <c r="R29" i="33"/>
  <c r="V28" i="33"/>
  <c r="W28" i="33" s="1"/>
  <c r="R28" i="33"/>
  <c r="V27" i="33"/>
  <c r="W27" i="33" s="1"/>
  <c r="U27" i="33"/>
  <c r="R27" i="33"/>
  <c r="V26" i="33"/>
  <c r="W26" i="33" s="1"/>
  <c r="U26" i="33"/>
  <c r="R26" i="33"/>
  <c r="V25" i="33"/>
  <c r="W25" i="33" s="1"/>
  <c r="U25" i="33"/>
  <c r="R25" i="33"/>
  <c r="V24" i="33"/>
  <c r="W24" i="33" s="1"/>
  <c r="U24" i="33"/>
  <c r="R24" i="33"/>
  <c r="V23" i="33"/>
  <c r="W23" i="33" s="1"/>
  <c r="U23" i="33"/>
  <c r="R23" i="33"/>
  <c r="V22" i="33"/>
  <c r="W22" i="33" s="1"/>
  <c r="R22" i="33"/>
  <c r="V21" i="33"/>
  <c r="W21" i="33" s="1"/>
  <c r="R21" i="33"/>
  <c r="V20" i="33"/>
  <c r="W20" i="33" s="1"/>
  <c r="U20" i="33"/>
  <c r="R20" i="33"/>
  <c r="V19" i="33"/>
  <c r="W19" i="33" s="1"/>
  <c r="R19" i="33"/>
  <c r="U322" i="32"/>
  <c r="W322" i="32" s="1"/>
  <c r="T322" i="32"/>
  <c r="R322" i="32"/>
  <c r="P322" i="32"/>
  <c r="O322" i="32"/>
  <c r="U321" i="32"/>
  <c r="V321" i="32" s="1"/>
  <c r="T321" i="32"/>
  <c r="R321" i="32"/>
  <c r="P321" i="32"/>
  <c r="O321" i="32"/>
  <c r="U320" i="32"/>
  <c r="W320" i="32" s="1"/>
  <c r="T320" i="32"/>
  <c r="R320" i="32"/>
  <c r="P320" i="32"/>
  <c r="O320" i="32"/>
  <c r="U319" i="32"/>
  <c r="V319" i="32" s="1"/>
  <c r="T319" i="32"/>
  <c r="R319" i="32"/>
  <c r="P319" i="32"/>
  <c r="O319" i="32"/>
  <c r="U318" i="32"/>
  <c r="W318" i="32" s="1"/>
  <c r="T318" i="32"/>
  <c r="R318" i="32"/>
  <c r="P318" i="32"/>
  <c r="O318" i="32"/>
  <c r="U317" i="32"/>
  <c r="V317" i="32" s="1"/>
  <c r="T317" i="32"/>
  <c r="R317" i="32"/>
  <c r="P317" i="32"/>
  <c r="O317" i="32"/>
  <c r="U316" i="32"/>
  <c r="W316" i="32" s="1"/>
  <c r="T316" i="32"/>
  <c r="R316" i="32"/>
  <c r="P316" i="32"/>
  <c r="O316" i="32"/>
  <c r="U315" i="32"/>
  <c r="V315" i="32" s="1"/>
  <c r="T315" i="32"/>
  <c r="R315" i="32"/>
  <c r="P315" i="32"/>
  <c r="O315" i="32"/>
  <c r="U314" i="32"/>
  <c r="W314" i="32" s="1"/>
  <c r="T314" i="32"/>
  <c r="R314" i="32"/>
  <c r="P314" i="32"/>
  <c r="O314" i="32"/>
  <c r="U313" i="32"/>
  <c r="V313" i="32" s="1"/>
  <c r="T313" i="32"/>
  <c r="R313" i="32"/>
  <c r="P313" i="32"/>
  <c r="O313" i="32"/>
  <c r="U312" i="32"/>
  <c r="W312" i="32" s="1"/>
  <c r="T312" i="32"/>
  <c r="R312" i="32"/>
  <c r="P312" i="32"/>
  <c r="O312" i="32"/>
  <c r="U311" i="32"/>
  <c r="V311" i="32" s="1"/>
  <c r="T311" i="32"/>
  <c r="R311" i="32"/>
  <c r="P311" i="32"/>
  <c r="O311" i="32"/>
  <c r="U310" i="32"/>
  <c r="W310" i="32" s="1"/>
  <c r="T310" i="32"/>
  <c r="R310" i="32"/>
  <c r="P310" i="32"/>
  <c r="O310" i="32"/>
  <c r="U309" i="32"/>
  <c r="V309" i="32" s="1"/>
  <c r="T309" i="32"/>
  <c r="R309" i="32"/>
  <c r="P309" i="32"/>
  <c r="O309" i="32"/>
  <c r="U308" i="32"/>
  <c r="W308" i="32" s="1"/>
  <c r="T308" i="32"/>
  <c r="R308" i="32"/>
  <c r="P308" i="32"/>
  <c r="O308" i="32"/>
  <c r="U307" i="32"/>
  <c r="V307" i="32" s="1"/>
  <c r="T307" i="32"/>
  <c r="R307" i="32"/>
  <c r="P307" i="32"/>
  <c r="O307" i="32"/>
  <c r="U306" i="32"/>
  <c r="W306" i="32" s="1"/>
  <c r="T306" i="32"/>
  <c r="R306" i="32"/>
  <c r="P306" i="32"/>
  <c r="O306" i="32"/>
  <c r="U305" i="32"/>
  <c r="V305" i="32" s="1"/>
  <c r="T305" i="32"/>
  <c r="R305" i="32"/>
  <c r="P305" i="32"/>
  <c r="O305" i="32"/>
  <c r="U304" i="32"/>
  <c r="W304" i="32" s="1"/>
  <c r="T304" i="32"/>
  <c r="R304" i="32"/>
  <c r="P304" i="32"/>
  <c r="O304" i="32"/>
  <c r="U303" i="32"/>
  <c r="V303" i="32" s="1"/>
  <c r="T303" i="32"/>
  <c r="R303" i="32"/>
  <c r="P303" i="32"/>
  <c r="O303" i="32"/>
  <c r="U302" i="32"/>
  <c r="W302" i="32" s="1"/>
  <c r="T302" i="32"/>
  <c r="R302" i="32"/>
  <c r="P302" i="32"/>
  <c r="O302" i="32"/>
  <c r="U301" i="32"/>
  <c r="W301" i="32" s="1"/>
  <c r="T301" i="32"/>
  <c r="R301" i="32"/>
  <c r="P301" i="32"/>
  <c r="O301" i="32"/>
  <c r="U300" i="32"/>
  <c r="T300" i="32"/>
  <c r="R300" i="32"/>
  <c r="P300" i="32"/>
  <c r="O300" i="32"/>
  <c r="U299" i="32"/>
  <c r="W299" i="32" s="1"/>
  <c r="T299" i="32"/>
  <c r="R299" i="32"/>
  <c r="P299" i="32"/>
  <c r="O299" i="32"/>
  <c r="U298" i="32"/>
  <c r="T298" i="32"/>
  <c r="R298" i="32"/>
  <c r="P298" i="32"/>
  <c r="O298" i="32"/>
  <c r="U297" i="32"/>
  <c r="W297" i="32" s="1"/>
  <c r="T297" i="32"/>
  <c r="R297" i="32"/>
  <c r="P297" i="32"/>
  <c r="O297" i="32"/>
  <c r="U296" i="32"/>
  <c r="T296" i="32"/>
  <c r="R296" i="32"/>
  <c r="P296" i="32"/>
  <c r="O296" i="32"/>
  <c r="U295" i="32"/>
  <c r="W295" i="32" s="1"/>
  <c r="T295" i="32"/>
  <c r="R295" i="32"/>
  <c r="P295" i="32"/>
  <c r="O295" i="32"/>
  <c r="U294" i="32"/>
  <c r="T294" i="32"/>
  <c r="R294" i="32"/>
  <c r="P294" i="32"/>
  <c r="O294" i="32"/>
  <c r="U293" i="32"/>
  <c r="W293" i="32" s="1"/>
  <c r="T293" i="32"/>
  <c r="R293" i="32"/>
  <c r="P293" i="32"/>
  <c r="O293" i="32"/>
  <c r="U292" i="32"/>
  <c r="T292" i="32"/>
  <c r="R292" i="32"/>
  <c r="P292" i="32"/>
  <c r="O292" i="32"/>
  <c r="U291" i="32"/>
  <c r="W291" i="32" s="1"/>
  <c r="T291" i="32"/>
  <c r="R291" i="32"/>
  <c r="P291" i="32"/>
  <c r="O291" i="32"/>
  <c r="U290" i="32"/>
  <c r="T290" i="32"/>
  <c r="R290" i="32"/>
  <c r="P290" i="32"/>
  <c r="O290" i="32"/>
  <c r="U289" i="32"/>
  <c r="W289" i="32" s="1"/>
  <c r="T289" i="32"/>
  <c r="R289" i="32"/>
  <c r="P289" i="32"/>
  <c r="O289" i="32"/>
  <c r="U288" i="32"/>
  <c r="T288" i="32"/>
  <c r="R288" i="32"/>
  <c r="P288" i="32"/>
  <c r="O288" i="32"/>
  <c r="U287" i="32"/>
  <c r="W287" i="32" s="1"/>
  <c r="T287" i="32"/>
  <c r="R287" i="32"/>
  <c r="P287" i="32"/>
  <c r="O287" i="32"/>
  <c r="U286" i="32"/>
  <c r="T286" i="32"/>
  <c r="R286" i="32"/>
  <c r="P286" i="32"/>
  <c r="O286" i="32"/>
  <c r="U285" i="32"/>
  <c r="W285" i="32" s="1"/>
  <c r="T285" i="32"/>
  <c r="R285" i="32"/>
  <c r="P285" i="32"/>
  <c r="O285" i="32"/>
  <c r="U284" i="32"/>
  <c r="T284" i="32"/>
  <c r="R284" i="32"/>
  <c r="P284" i="32"/>
  <c r="O284" i="32"/>
  <c r="U283" i="32"/>
  <c r="W283" i="32" s="1"/>
  <c r="T283" i="32"/>
  <c r="R283" i="32"/>
  <c r="P283" i="32"/>
  <c r="O283" i="32"/>
  <c r="U282" i="32"/>
  <c r="T282" i="32"/>
  <c r="R282" i="32"/>
  <c r="P282" i="32"/>
  <c r="O282" i="32"/>
  <c r="U281" i="32"/>
  <c r="W281" i="32" s="1"/>
  <c r="T281" i="32"/>
  <c r="R281" i="32"/>
  <c r="P281" i="32"/>
  <c r="O281" i="32"/>
  <c r="U280" i="32"/>
  <c r="T280" i="32"/>
  <c r="R280" i="32"/>
  <c r="P280" i="32"/>
  <c r="O280" i="32"/>
  <c r="U279" i="32"/>
  <c r="W279" i="32" s="1"/>
  <c r="T279" i="32"/>
  <c r="R279" i="32"/>
  <c r="P279" i="32"/>
  <c r="O279" i="32"/>
  <c r="U278" i="32"/>
  <c r="T278" i="32"/>
  <c r="R278" i="32"/>
  <c r="P278" i="32"/>
  <c r="O278" i="32"/>
  <c r="U277" i="32"/>
  <c r="W277" i="32" s="1"/>
  <c r="T277" i="32"/>
  <c r="R277" i="32"/>
  <c r="P277" i="32"/>
  <c r="O277" i="32"/>
  <c r="U276" i="32"/>
  <c r="T276" i="32"/>
  <c r="R276" i="32"/>
  <c r="P276" i="32"/>
  <c r="O276" i="32"/>
  <c r="U275" i="32"/>
  <c r="W275" i="32" s="1"/>
  <c r="T275" i="32"/>
  <c r="R275" i="32"/>
  <c r="P275" i="32"/>
  <c r="O275" i="32"/>
  <c r="U274" i="32"/>
  <c r="T274" i="32"/>
  <c r="R274" i="32"/>
  <c r="P274" i="32"/>
  <c r="O274" i="32"/>
  <c r="U273" i="32"/>
  <c r="W273" i="32" s="1"/>
  <c r="T273" i="32"/>
  <c r="R273" i="32"/>
  <c r="P273" i="32"/>
  <c r="O273" i="32"/>
  <c r="U272" i="32"/>
  <c r="T272" i="32"/>
  <c r="R272" i="32"/>
  <c r="P272" i="32"/>
  <c r="O272" i="32"/>
  <c r="U271" i="32"/>
  <c r="W271" i="32" s="1"/>
  <c r="T271" i="32"/>
  <c r="R271" i="32"/>
  <c r="P271" i="32"/>
  <c r="O271" i="32"/>
  <c r="U270" i="32"/>
  <c r="V270" i="32" s="1"/>
  <c r="T270" i="32"/>
  <c r="R270" i="32"/>
  <c r="P270" i="32"/>
  <c r="O270" i="32"/>
  <c r="U269" i="32"/>
  <c r="W269" i="32" s="1"/>
  <c r="T269" i="32"/>
  <c r="R269" i="32"/>
  <c r="P269" i="32"/>
  <c r="O269" i="32"/>
  <c r="U268" i="32"/>
  <c r="V268" i="32" s="1"/>
  <c r="T268" i="32"/>
  <c r="R268" i="32"/>
  <c r="P268" i="32"/>
  <c r="O268" i="32"/>
  <c r="U267" i="32"/>
  <c r="W267" i="32" s="1"/>
  <c r="T267" i="32"/>
  <c r="R267" i="32"/>
  <c r="P267" i="32"/>
  <c r="O267" i="32"/>
  <c r="U266" i="32"/>
  <c r="V266" i="32" s="1"/>
  <c r="T266" i="32"/>
  <c r="R266" i="32"/>
  <c r="P266" i="32"/>
  <c r="O266" i="32"/>
  <c r="U265" i="32"/>
  <c r="W265" i="32" s="1"/>
  <c r="T265" i="32"/>
  <c r="R265" i="32"/>
  <c r="P265" i="32"/>
  <c r="O265" i="32"/>
  <c r="U264" i="32"/>
  <c r="V264" i="32" s="1"/>
  <c r="T264" i="32"/>
  <c r="R264" i="32"/>
  <c r="P264" i="32"/>
  <c r="O264" i="32"/>
  <c r="U263" i="32"/>
  <c r="W263" i="32" s="1"/>
  <c r="T263" i="32"/>
  <c r="R263" i="32"/>
  <c r="P263" i="32"/>
  <c r="O263" i="32"/>
  <c r="U262" i="32"/>
  <c r="V262" i="32" s="1"/>
  <c r="T262" i="32"/>
  <c r="R262" i="32"/>
  <c r="P262" i="32"/>
  <c r="O262" i="32"/>
  <c r="U261" i="32"/>
  <c r="W261" i="32" s="1"/>
  <c r="T261" i="32"/>
  <c r="R261" i="32"/>
  <c r="P261" i="32"/>
  <c r="O261" i="32"/>
  <c r="U260" i="32"/>
  <c r="V260" i="32" s="1"/>
  <c r="T260" i="32"/>
  <c r="R260" i="32"/>
  <c r="P260" i="32"/>
  <c r="O260" i="32"/>
  <c r="U259" i="32"/>
  <c r="W259" i="32" s="1"/>
  <c r="T259" i="32"/>
  <c r="R259" i="32"/>
  <c r="P259" i="32"/>
  <c r="O259" i="32"/>
  <c r="U258" i="32"/>
  <c r="V258" i="32" s="1"/>
  <c r="T258" i="32"/>
  <c r="R258" i="32"/>
  <c r="P258" i="32"/>
  <c r="O258" i="32"/>
  <c r="U257" i="32"/>
  <c r="W257" i="32" s="1"/>
  <c r="T257" i="32"/>
  <c r="R257" i="32"/>
  <c r="P257" i="32"/>
  <c r="O257" i="32"/>
  <c r="U256" i="32"/>
  <c r="V256" i="32" s="1"/>
  <c r="T256" i="32"/>
  <c r="R256" i="32"/>
  <c r="P256" i="32"/>
  <c r="O256" i="32"/>
  <c r="U255" i="32"/>
  <c r="W255" i="32" s="1"/>
  <c r="T255" i="32"/>
  <c r="R255" i="32"/>
  <c r="P255" i="32"/>
  <c r="O255" i="32"/>
  <c r="U254" i="32"/>
  <c r="V254" i="32" s="1"/>
  <c r="T254" i="32"/>
  <c r="R254" i="32"/>
  <c r="P254" i="32"/>
  <c r="O254" i="32"/>
  <c r="U253" i="32"/>
  <c r="W253" i="32" s="1"/>
  <c r="T253" i="32"/>
  <c r="R253" i="32"/>
  <c r="P253" i="32"/>
  <c r="O253" i="32"/>
  <c r="U252" i="32"/>
  <c r="V252" i="32" s="1"/>
  <c r="T252" i="32"/>
  <c r="R252" i="32"/>
  <c r="P252" i="32"/>
  <c r="O252" i="32"/>
  <c r="U251" i="32"/>
  <c r="W251" i="32" s="1"/>
  <c r="T251" i="32"/>
  <c r="R251" i="32"/>
  <c r="P251" i="32"/>
  <c r="O251" i="32"/>
  <c r="U250" i="32"/>
  <c r="V250" i="32" s="1"/>
  <c r="T250" i="32"/>
  <c r="R250" i="32"/>
  <c r="P250" i="32"/>
  <c r="O250" i="32"/>
  <c r="U249" i="32"/>
  <c r="W249" i="32" s="1"/>
  <c r="T249" i="32"/>
  <c r="R249" i="32"/>
  <c r="P249" i="32"/>
  <c r="O249" i="32"/>
  <c r="U248" i="32"/>
  <c r="V248" i="32" s="1"/>
  <c r="T248" i="32"/>
  <c r="R248" i="32"/>
  <c r="P248" i="32"/>
  <c r="O248" i="32"/>
  <c r="U247" i="32"/>
  <c r="W247" i="32" s="1"/>
  <c r="T247" i="32"/>
  <c r="R247" i="32"/>
  <c r="P247" i="32"/>
  <c r="O247" i="32"/>
  <c r="U246" i="32"/>
  <c r="V246" i="32" s="1"/>
  <c r="T246" i="32"/>
  <c r="R246" i="32"/>
  <c r="P246" i="32"/>
  <c r="O246" i="32"/>
  <c r="U245" i="32"/>
  <c r="W245" i="32" s="1"/>
  <c r="T245" i="32"/>
  <c r="R245" i="32"/>
  <c r="P245" i="32"/>
  <c r="O245" i="32"/>
  <c r="U244" i="32"/>
  <c r="V244" i="32" s="1"/>
  <c r="T244" i="32"/>
  <c r="R244" i="32"/>
  <c r="P244" i="32"/>
  <c r="O244" i="32"/>
  <c r="U243" i="32"/>
  <c r="W243" i="32" s="1"/>
  <c r="T243" i="32"/>
  <c r="R243" i="32"/>
  <c r="P243" i="32"/>
  <c r="O243" i="32"/>
  <c r="U242" i="32"/>
  <c r="V242" i="32" s="1"/>
  <c r="T242" i="32"/>
  <c r="R242" i="32"/>
  <c r="P242" i="32"/>
  <c r="O242" i="32"/>
  <c r="U241" i="32"/>
  <c r="W241" i="32" s="1"/>
  <c r="T241" i="32"/>
  <c r="R241" i="32"/>
  <c r="P241" i="32"/>
  <c r="O241" i="32"/>
  <c r="U240" i="32"/>
  <c r="V240" i="32" s="1"/>
  <c r="T240" i="32"/>
  <c r="R240" i="32"/>
  <c r="P240" i="32"/>
  <c r="O240" i="32"/>
  <c r="U239" i="32"/>
  <c r="W239" i="32" s="1"/>
  <c r="T239" i="32"/>
  <c r="R239" i="32"/>
  <c r="P239" i="32"/>
  <c r="O239" i="32"/>
  <c r="U238" i="32"/>
  <c r="V238" i="32" s="1"/>
  <c r="T238" i="32"/>
  <c r="R238" i="32"/>
  <c r="P238" i="32"/>
  <c r="O238" i="32"/>
  <c r="U237" i="32"/>
  <c r="W237" i="32" s="1"/>
  <c r="T237" i="32"/>
  <c r="R237" i="32"/>
  <c r="P237" i="32"/>
  <c r="O237" i="32"/>
  <c r="U236" i="32"/>
  <c r="V236" i="32" s="1"/>
  <c r="T236" i="32"/>
  <c r="R236" i="32"/>
  <c r="P236" i="32"/>
  <c r="O236" i="32"/>
  <c r="U235" i="32"/>
  <c r="W235" i="32" s="1"/>
  <c r="T235" i="32"/>
  <c r="R235" i="32"/>
  <c r="P235" i="32"/>
  <c r="O235" i="32"/>
  <c r="U234" i="32"/>
  <c r="V234" i="32" s="1"/>
  <c r="T234" i="32"/>
  <c r="R234" i="32"/>
  <c r="P234" i="32"/>
  <c r="O234" i="32"/>
  <c r="U233" i="32"/>
  <c r="W233" i="32" s="1"/>
  <c r="T233" i="32"/>
  <c r="R233" i="32"/>
  <c r="P233" i="32"/>
  <c r="O233" i="32"/>
  <c r="U232" i="32"/>
  <c r="V232" i="32" s="1"/>
  <c r="T232" i="32"/>
  <c r="R232" i="32"/>
  <c r="P232" i="32"/>
  <c r="O232" i="32"/>
  <c r="U231" i="32"/>
  <c r="W231" i="32" s="1"/>
  <c r="T231" i="32"/>
  <c r="R231" i="32"/>
  <c r="P231" i="32"/>
  <c r="O231" i="32"/>
  <c r="U230" i="32"/>
  <c r="V230" i="32" s="1"/>
  <c r="T230" i="32"/>
  <c r="R230" i="32"/>
  <c r="P230" i="32"/>
  <c r="O230" i="32"/>
  <c r="U229" i="32"/>
  <c r="W229" i="32" s="1"/>
  <c r="T229" i="32"/>
  <c r="R229" i="32"/>
  <c r="P229" i="32"/>
  <c r="O229" i="32"/>
  <c r="U228" i="32"/>
  <c r="V228" i="32" s="1"/>
  <c r="T228" i="32"/>
  <c r="R228" i="32"/>
  <c r="P228" i="32"/>
  <c r="O228" i="32"/>
  <c r="U227" i="32"/>
  <c r="W227" i="32" s="1"/>
  <c r="T227" i="32"/>
  <c r="R227" i="32"/>
  <c r="P227" i="32"/>
  <c r="O227" i="32"/>
  <c r="U226" i="32"/>
  <c r="V226" i="32" s="1"/>
  <c r="T226" i="32"/>
  <c r="R226" i="32"/>
  <c r="P226" i="32"/>
  <c r="O226" i="32"/>
  <c r="U225" i="32"/>
  <c r="W225" i="32" s="1"/>
  <c r="T225" i="32"/>
  <c r="R225" i="32"/>
  <c r="P225" i="32"/>
  <c r="O225" i="32"/>
  <c r="U224" i="32"/>
  <c r="V224" i="32" s="1"/>
  <c r="T224" i="32"/>
  <c r="R224" i="32"/>
  <c r="P224" i="32"/>
  <c r="O224" i="32"/>
  <c r="U223" i="32"/>
  <c r="W223" i="32" s="1"/>
  <c r="T223" i="32"/>
  <c r="R223" i="32"/>
  <c r="P223" i="32"/>
  <c r="O223" i="32"/>
  <c r="U222" i="32"/>
  <c r="V222" i="32" s="1"/>
  <c r="T222" i="32"/>
  <c r="R222" i="32"/>
  <c r="P222" i="32"/>
  <c r="O222" i="32"/>
  <c r="U221" i="32"/>
  <c r="W221" i="32" s="1"/>
  <c r="T221" i="32"/>
  <c r="R221" i="32"/>
  <c r="P221" i="32"/>
  <c r="O221" i="32"/>
  <c r="U220" i="32"/>
  <c r="V220" i="32" s="1"/>
  <c r="T220" i="32"/>
  <c r="R220" i="32"/>
  <c r="P220" i="32"/>
  <c r="O220" i="32"/>
  <c r="U219" i="32"/>
  <c r="W219" i="32" s="1"/>
  <c r="T219" i="32"/>
  <c r="R219" i="32"/>
  <c r="P219" i="32"/>
  <c r="O219" i="32"/>
  <c r="U218" i="32"/>
  <c r="V218" i="32" s="1"/>
  <c r="T218" i="32"/>
  <c r="R218" i="32"/>
  <c r="P218" i="32"/>
  <c r="O218" i="32"/>
  <c r="U217" i="32"/>
  <c r="W217" i="32" s="1"/>
  <c r="T217" i="32"/>
  <c r="R217" i="32"/>
  <c r="P217" i="32"/>
  <c r="O217" i="32"/>
  <c r="U216" i="32"/>
  <c r="V216" i="32" s="1"/>
  <c r="T216" i="32"/>
  <c r="R216" i="32"/>
  <c r="P216" i="32"/>
  <c r="O216" i="32"/>
  <c r="U215" i="32"/>
  <c r="W215" i="32" s="1"/>
  <c r="T215" i="32"/>
  <c r="R215" i="32"/>
  <c r="P215" i="32"/>
  <c r="O215" i="32"/>
  <c r="U214" i="32"/>
  <c r="V214" i="32" s="1"/>
  <c r="T214" i="32"/>
  <c r="R214" i="32"/>
  <c r="P214" i="32"/>
  <c r="O214" i="32"/>
  <c r="U213" i="32"/>
  <c r="W213" i="32" s="1"/>
  <c r="T213" i="32"/>
  <c r="R213" i="32"/>
  <c r="P213" i="32"/>
  <c r="O213" i="32"/>
  <c r="U212" i="32"/>
  <c r="V212" i="32" s="1"/>
  <c r="T212" i="32"/>
  <c r="R212" i="32"/>
  <c r="P212" i="32"/>
  <c r="O212" i="32"/>
  <c r="U211" i="32"/>
  <c r="W211" i="32" s="1"/>
  <c r="T211" i="32"/>
  <c r="R211" i="32"/>
  <c r="P211" i="32"/>
  <c r="O211" i="32"/>
  <c r="U210" i="32"/>
  <c r="V210" i="32" s="1"/>
  <c r="T210" i="32"/>
  <c r="R210" i="32"/>
  <c r="P210" i="32"/>
  <c r="O210" i="32"/>
  <c r="U209" i="32"/>
  <c r="W209" i="32" s="1"/>
  <c r="T209" i="32"/>
  <c r="R209" i="32"/>
  <c r="P209" i="32"/>
  <c r="O209" i="32"/>
  <c r="U208" i="32"/>
  <c r="V208" i="32" s="1"/>
  <c r="T208" i="32"/>
  <c r="R208" i="32"/>
  <c r="P208" i="32"/>
  <c r="O208" i="32"/>
  <c r="U207" i="32"/>
  <c r="W207" i="32" s="1"/>
  <c r="T207" i="32"/>
  <c r="R207" i="32"/>
  <c r="P207" i="32"/>
  <c r="O207" i="32"/>
  <c r="U206" i="32"/>
  <c r="V206" i="32" s="1"/>
  <c r="T206" i="32"/>
  <c r="R206" i="32"/>
  <c r="P206" i="32"/>
  <c r="O206" i="32"/>
  <c r="U205" i="32"/>
  <c r="W205" i="32" s="1"/>
  <c r="T205" i="32"/>
  <c r="R205" i="32"/>
  <c r="P205" i="32"/>
  <c r="O205" i="32"/>
  <c r="U204" i="32"/>
  <c r="V204" i="32" s="1"/>
  <c r="T204" i="32"/>
  <c r="R204" i="32"/>
  <c r="P204" i="32"/>
  <c r="O204" i="32"/>
  <c r="U203" i="32"/>
  <c r="W203" i="32" s="1"/>
  <c r="T203" i="32"/>
  <c r="R203" i="32"/>
  <c r="P203" i="32"/>
  <c r="O203" i="32"/>
  <c r="U202" i="32"/>
  <c r="V202" i="32" s="1"/>
  <c r="T202" i="32"/>
  <c r="R202" i="32"/>
  <c r="P202" i="32"/>
  <c r="O202" i="32"/>
  <c r="U201" i="32"/>
  <c r="W201" i="32" s="1"/>
  <c r="T201" i="32"/>
  <c r="R201" i="32"/>
  <c r="P201" i="32"/>
  <c r="O201" i="32"/>
  <c r="U200" i="32"/>
  <c r="V200" i="32" s="1"/>
  <c r="T200" i="32"/>
  <c r="R200" i="32"/>
  <c r="P200" i="32"/>
  <c r="O200" i="32"/>
  <c r="U199" i="32"/>
  <c r="W199" i="32" s="1"/>
  <c r="T199" i="32"/>
  <c r="R199" i="32"/>
  <c r="P199" i="32"/>
  <c r="O199" i="32"/>
  <c r="U198" i="32"/>
  <c r="V198" i="32" s="1"/>
  <c r="T198" i="32"/>
  <c r="R198" i="32"/>
  <c r="P198" i="32"/>
  <c r="O198" i="32"/>
  <c r="U197" i="32"/>
  <c r="W197" i="32" s="1"/>
  <c r="T197" i="32"/>
  <c r="R197" i="32"/>
  <c r="P197" i="32"/>
  <c r="O197" i="32"/>
  <c r="U196" i="32"/>
  <c r="V196" i="32" s="1"/>
  <c r="T196" i="32"/>
  <c r="R196" i="32"/>
  <c r="P196" i="32"/>
  <c r="O196" i="32"/>
  <c r="U195" i="32"/>
  <c r="W195" i="32" s="1"/>
  <c r="T195" i="32"/>
  <c r="R195" i="32"/>
  <c r="P195" i="32"/>
  <c r="O195" i="32"/>
  <c r="U194" i="32"/>
  <c r="W194" i="32" s="1"/>
  <c r="T194" i="32"/>
  <c r="R194" i="32"/>
  <c r="P194" i="32"/>
  <c r="O194" i="32"/>
  <c r="U193" i="32"/>
  <c r="V193" i="32" s="1"/>
  <c r="T193" i="32"/>
  <c r="R193" i="32"/>
  <c r="P193" i="32"/>
  <c r="O193" i="32"/>
  <c r="U192" i="32"/>
  <c r="W192" i="32" s="1"/>
  <c r="T192" i="32"/>
  <c r="R192" i="32"/>
  <c r="P192" i="32"/>
  <c r="O192" i="32"/>
  <c r="U191" i="32"/>
  <c r="V191" i="32" s="1"/>
  <c r="T191" i="32"/>
  <c r="R191" i="32"/>
  <c r="P191" i="32"/>
  <c r="O191" i="32"/>
  <c r="U190" i="32"/>
  <c r="W190" i="32" s="1"/>
  <c r="T190" i="32"/>
  <c r="R190" i="32"/>
  <c r="P190" i="32"/>
  <c r="O190" i="32"/>
  <c r="U189" i="32"/>
  <c r="V189" i="32" s="1"/>
  <c r="T189" i="32"/>
  <c r="R189" i="32"/>
  <c r="P189" i="32"/>
  <c r="O189" i="32"/>
  <c r="U188" i="32"/>
  <c r="W188" i="32" s="1"/>
  <c r="T188" i="32"/>
  <c r="R188" i="32"/>
  <c r="P188" i="32"/>
  <c r="O188" i="32"/>
  <c r="U187" i="32"/>
  <c r="V187" i="32" s="1"/>
  <c r="T187" i="32"/>
  <c r="R187" i="32"/>
  <c r="P187" i="32"/>
  <c r="O187" i="32"/>
  <c r="U186" i="32"/>
  <c r="W186" i="32" s="1"/>
  <c r="T186" i="32"/>
  <c r="R186" i="32"/>
  <c r="P186" i="32"/>
  <c r="O186" i="32"/>
  <c r="U185" i="32"/>
  <c r="V185" i="32" s="1"/>
  <c r="T185" i="32"/>
  <c r="R185" i="32"/>
  <c r="P185" i="32"/>
  <c r="O185" i="32"/>
  <c r="U184" i="32"/>
  <c r="W184" i="32" s="1"/>
  <c r="T184" i="32"/>
  <c r="R184" i="32"/>
  <c r="P184" i="32"/>
  <c r="O184" i="32"/>
  <c r="U183" i="32"/>
  <c r="V183" i="32" s="1"/>
  <c r="T183" i="32"/>
  <c r="R183" i="32"/>
  <c r="P183" i="32"/>
  <c r="O183" i="32"/>
  <c r="U182" i="32"/>
  <c r="W182" i="32" s="1"/>
  <c r="T182" i="32"/>
  <c r="R182" i="32"/>
  <c r="P182" i="32"/>
  <c r="O182" i="32"/>
  <c r="U181" i="32"/>
  <c r="V181" i="32" s="1"/>
  <c r="T181" i="32"/>
  <c r="R181" i="32"/>
  <c r="P181" i="32"/>
  <c r="O181" i="32"/>
  <c r="U180" i="32"/>
  <c r="W180" i="32" s="1"/>
  <c r="T180" i="32"/>
  <c r="R180" i="32"/>
  <c r="P180" i="32"/>
  <c r="O180" i="32"/>
  <c r="U179" i="32"/>
  <c r="V179" i="32" s="1"/>
  <c r="T179" i="32"/>
  <c r="R179" i="32"/>
  <c r="P179" i="32"/>
  <c r="O179" i="32"/>
  <c r="U178" i="32"/>
  <c r="W178" i="32" s="1"/>
  <c r="T178" i="32"/>
  <c r="R178" i="32"/>
  <c r="P178" i="32"/>
  <c r="O178" i="32"/>
  <c r="U177" i="32"/>
  <c r="V177" i="32" s="1"/>
  <c r="T177" i="32"/>
  <c r="R177" i="32"/>
  <c r="P177" i="32"/>
  <c r="O177" i="32"/>
  <c r="U176" i="32"/>
  <c r="W176" i="32" s="1"/>
  <c r="T176" i="32"/>
  <c r="R176" i="32"/>
  <c r="P176" i="32"/>
  <c r="O176" i="32"/>
  <c r="U175" i="32"/>
  <c r="V175" i="32" s="1"/>
  <c r="T175" i="32"/>
  <c r="R175" i="32"/>
  <c r="P175" i="32"/>
  <c r="O175" i="32"/>
  <c r="U174" i="32"/>
  <c r="W174" i="32" s="1"/>
  <c r="T174" i="32"/>
  <c r="R174" i="32"/>
  <c r="P174" i="32"/>
  <c r="O174" i="32"/>
  <c r="U173" i="32"/>
  <c r="V173" i="32" s="1"/>
  <c r="T173" i="32"/>
  <c r="R173" i="32"/>
  <c r="P173" i="32"/>
  <c r="O173" i="32"/>
  <c r="O319" i="33" s="1"/>
  <c r="U171" i="32"/>
  <c r="V171" i="32" s="1"/>
  <c r="T171" i="32"/>
  <c r="U319" i="33" s="1"/>
  <c r="N171" i="32"/>
  <c r="N317" i="33" s="1"/>
  <c r="U170" i="32"/>
  <c r="V170" i="32" s="1"/>
  <c r="T170" i="32"/>
  <c r="U318" i="33" s="1"/>
  <c r="N170" i="32"/>
  <c r="N316" i="33" s="1"/>
  <c r="U169" i="32"/>
  <c r="V169" i="32" s="1"/>
  <c r="T169" i="32"/>
  <c r="U317" i="33" s="1"/>
  <c r="N169" i="32"/>
  <c r="N315" i="33" s="1"/>
  <c r="U168" i="32"/>
  <c r="V168" i="32" s="1"/>
  <c r="T168" i="32"/>
  <c r="U316" i="33" s="1"/>
  <c r="N168" i="32"/>
  <c r="N314" i="33" s="1"/>
  <c r="U167" i="32"/>
  <c r="V167" i="32" s="1"/>
  <c r="T167" i="32"/>
  <c r="U315" i="33" s="1"/>
  <c r="N167" i="32"/>
  <c r="N313" i="33" s="1"/>
  <c r="U166" i="32"/>
  <c r="V166" i="32" s="1"/>
  <c r="T166" i="32"/>
  <c r="U314" i="33" s="1"/>
  <c r="N166" i="32"/>
  <c r="N312" i="33" s="1"/>
  <c r="U165" i="32"/>
  <c r="V165" i="32" s="1"/>
  <c r="T165" i="32"/>
  <c r="U313" i="33" s="1"/>
  <c r="N165" i="32"/>
  <c r="N311" i="33" s="1"/>
  <c r="U164" i="32"/>
  <c r="V164" i="32" s="1"/>
  <c r="T164" i="32"/>
  <c r="U312" i="33" s="1"/>
  <c r="N164" i="32"/>
  <c r="N310" i="33" s="1"/>
  <c r="U163" i="32"/>
  <c r="V163" i="32" s="1"/>
  <c r="T163" i="32"/>
  <c r="U311" i="33" s="1"/>
  <c r="N163" i="32"/>
  <c r="N309" i="33" s="1"/>
  <c r="U162" i="32"/>
  <c r="V162" i="32" s="1"/>
  <c r="T162" i="32"/>
  <c r="U310" i="33" s="1"/>
  <c r="N162" i="32"/>
  <c r="N308" i="33" s="1"/>
  <c r="U161" i="32"/>
  <c r="V161" i="32" s="1"/>
  <c r="T161" i="32"/>
  <c r="U309" i="33" s="1"/>
  <c r="N161" i="32"/>
  <c r="N307" i="33" s="1"/>
  <c r="U160" i="32"/>
  <c r="V160" i="32" s="1"/>
  <c r="T160" i="32"/>
  <c r="U308" i="33" s="1"/>
  <c r="N160" i="32"/>
  <c r="N306" i="33" s="1"/>
  <c r="U159" i="32"/>
  <c r="V159" i="32" s="1"/>
  <c r="T159" i="32"/>
  <c r="U307" i="33" s="1"/>
  <c r="N159" i="32"/>
  <c r="N305" i="33" s="1"/>
  <c r="U158" i="32"/>
  <c r="V158" i="32" s="1"/>
  <c r="T158" i="32"/>
  <c r="U306" i="33" s="1"/>
  <c r="N158" i="32"/>
  <c r="N304" i="33" s="1"/>
  <c r="U157" i="32"/>
  <c r="V157" i="32" s="1"/>
  <c r="T157" i="32"/>
  <c r="U305" i="33" s="1"/>
  <c r="N157" i="32"/>
  <c r="N303" i="33" s="1"/>
  <c r="U156" i="32"/>
  <c r="V156" i="32" s="1"/>
  <c r="T156" i="32"/>
  <c r="U304" i="33" s="1"/>
  <c r="N156" i="32"/>
  <c r="N302" i="33" s="1"/>
  <c r="U155" i="32"/>
  <c r="V155" i="32" s="1"/>
  <c r="T155" i="32"/>
  <c r="U303" i="33" s="1"/>
  <c r="N155" i="32"/>
  <c r="N301" i="33" s="1"/>
  <c r="U154" i="32"/>
  <c r="V154" i="32" s="1"/>
  <c r="T154" i="32"/>
  <c r="U302" i="33" s="1"/>
  <c r="N154" i="32"/>
  <c r="N300" i="33" s="1"/>
  <c r="U153" i="32"/>
  <c r="V153" i="32" s="1"/>
  <c r="T153" i="32"/>
  <c r="U301" i="33" s="1"/>
  <c r="N153" i="32"/>
  <c r="N299" i="33" s="1"/>
  <c r="U152" i="32"/>
  <c r="V152" i="32" s="1"/>
  <c r="T152" i="32"/>
  <c r="U300" i="33" s="1"/>
  <c r="N152" i="32"/>
  <c r="N298" i="33" s="1"/>
  <c r="U151" i="32"/>
  <c r="V151" i="32" s="1"/>
  <c r="T151" i="32"/>
  <c r="U299" i="33" s="1"/>
  <c r="N151" i="32"/>
  <c r="N297" i="33" s="1"/>
  <c r="U150" i="32"/>
  <c r="V150" i="32" s="1"/>
  <c r="T150" i="32"/>
  <c r="U298" i="33" s="1"/>
  <c r="N150" i="32"/>
  <c r="N296" i="33" s="1"/>
  <c r="U149" i="32"/>
  <c r="V149" i="32" s="1"/>
  <c r="T149" i="32"/>
  <c r="U297" i="33" s="1"/>
  <c r="N149" i="32"/>
  <c r="N295" i="33" s="1"/>
  <c r="U148" i="32"/>
  <c r="V148" i="32" s="1"/>
  <c r="T148" i="32"/>
  <c r="U296" i="33" s="1"/>
  <c r="N148" i="32"/>
  <c r="N294" i="33" s="1"/>
  <c r="U147" i="32"/>
  <c r="V147" i="32" s="1"/>
  <c r="T147" i="32"/>
  <c r="U295" i="33" s="1"/>
  <c r="N147" i="32"/>
  <c r="N293" i="33" s="1"/>
  <c r="U146" i="32"/>
  <c r="V146" i="32" s="1"/>
  <c r="T146" i="32"/>
  <c r="U294" i="33" s="1"/>
  <c r="N146" i="32"/>
  <c r="N292" i="33" s="1"/>
  <c r="U145" i="32"/>
  <c r="V145" i="32" s="1"/>
  <c r="T145" i="32"/>
  <c r="U293" i="33" s="1"/>
  <c r="N145" i="32"/>
  <c r="N291" i="33" s="1"/>
  <c r="U144" i="32"/>
  <c r="V144" i="32" s="1"/>
  <c r="T144" i="32"/>
  <c r="U292" i="33" s="1"/>
  <c r="N144" i="32"/>
  <c r="N290" i="33" s="1"/>
  <c r="U143" i="32"/>
  <c r="V143" i="32" s="1"/>
  <c r="T143" i="32"/>
  <c r="U291" i="33" s="1"/>
  <c r="N143" i="32"/>
  <c r="N289" i="33" s="1"/>
  <c r="U142" i="32"/>
  <c r="V142" i="32" s="1"/>
  <c r="T142" i="32"/>
  <c r="U290" i="33" s="1"/>
  <c r="N142" i="32"/>
  <c r="N288" i="33" s="1"/>
  <c r="U141" i="32"/>
  <c r="V141" i="32" s="1"/>
  <c r="T141" i="32"/>
  <c r="U289" i="33" s="1"/>
  <c r="N141" i="32"/>
  <c r="N287" i="33" s="1"/>
  <c r="U140" i="32"/>
  <c r="V140" i="32" s="1"/>
  <c r="T140" i="32"/>
  <c r="U288" i="33" s="1"/>
  <c r="N140" i="32"/>
  <c r="N286" i="33" s="1"/>
  <c r="U139" i="32"/>
  <c r="V139" i="32" s="1"/>
  <c r="T139" i="32"/>
  <c r="U287" i="33" s="1"/>
  <c r="N139" i="32"/>
  <c r="N285" i="33" s="1"/>
  <c r="U138" i="32"/>
  <c r="V138" i="32" s="1"/>
  <c r="T138" i="32"/>
  <c r="U286" i="33" s="1"/>
  <c r="N138" i="32"/>
  <c r="N284" i="33" s="1"/>
  <c r="U137" i="32"/>
  <c r="V137" i="32" s="1"/>
  <c r="T137" i="32"/>
  <c r="U285" i="33" s="1"/>
  <c r="N137" i="32"/>
  <c r="N283" i="33" s="1"/>
  <c r="U136" i="32"/>
  <c r="V136" i="32" s="1"/>
  <c r="T136" i="32"/>
  <c r="U284" i="33" s="1"/>
  <c r="N136" i="32"/>
  <c r="N282" i="33" s="1"/>
  <c r="U135" i="32"/>
  <c r="V135" i="32" s="1"/>
  <c r="T135" i="32"/>
  <c r="U283" i="33" s="1"/>
  <c r="N135" i="32"/>
  <c r="N281" i="33" s="1"/>
  <c r="U134" i="32"/>
  <c r="V134" i="32" s="1"/>
  <c r="T134" i="32"/>
  <c r="U282" i="33" s="1"/>
  <c r="N134" i="32"/>
  <c r="N280" i="33" s="1"/>
  <c r="U133" i="32"/>
  <c r="V133" i="32" s="1"/>
  <c r="T133" i="32"/>
  <c r="U281" i="33" s="1"/>
  <c r="N133" i="32"/>
  <c r="N279" i="33" s="1"/>
  <c r="U132" i="32"/>
  <c r="V132" i="32" s="1"/>
  <c r="T132" i="32"/>
  <c r="U280" i="33" s="1"/>
  <c r="N132" i="32"/>
  <c r="N278" i="33" s="1"/>
  <c r="U131" i="32"/>
  <c r="V131" i="32" s="1"/>
  <c r="T131" i="32"/>
  <c r="U279" i="33" s="1"/>
  <c r="N131" i="32"/>
  <c r="N277" i="33" s="1"/>
  <c r="U130" i="32"/>
  <c r="V130" i="32" s="1"/>
  <c r="T130" i="32"/>
  <c r="U278" i="33" s="1"/>
  <c r="N130" i="32"/>
  <c r="N276" i="33" s="1"/>
  <c r="U129" i="32"/>
  <c r="V129" i="32" s="1"/>
  <c r="T129" i="32"/>
  <c r="U277" i="33" s="1"/>
  <c r="N129" i="32"/>
  <c r="N275" i="33" s="1"/>
  <c r="U128" i="32"/>
  <c r="V128" i="32" s="1"/>
  <c r="T128" i="32"/>
  <c r="U276" i="33" s="1"/>
  <c r="N128" i="32"/>
  <c r="N274" i="33" s="1"/>
  <c r="U127" i="32"/>
  <c r="V127" i="32" s="1"/>
  <c r="T127" i="32"/>
  <c r="U275" i="33" s="1"/>
  <c r="N127" i="32"/>
  <c r="N273" i="33" s="1"/>
  <c r="U126" i="32"/>
  <c r="V126" i="32" s="1"/>
  <c r="T126" i="32"/>
  <c r="U274" i="33" s="1"/>
  <c r="N126" i="32"/>
  <c r="N272" i="33" s="1"/>
  <c r="U125" i="32"/>
  <c r="V125" i="32" s="1"/>
  <c r="T125" i="32"/>
  <c r="U273" i="33" s="1"/>
  <c r="N125" i="32"/>
  <c r="N271" i="33" s="1"/>
  <c r="U124" i="32"/>
  <c r="V124" i="32" s="1"/>
  <c r="T124" i="32"/>
  <c r="U272" i="33" s="1"/>
  <c r="N124" i="32"/>
  <c r="N270" i="33" s="1"/>
  <c r="U123" i="32"/>
  <c r="V123" i="32" s="1"/>
  <c r="T123" i="32"/>
  <c r="U271" i="33" s="1"/>
  <c r="N123" i="32"/>
  <c r="N269" i="33" s="1"/>
  <c r="U122" i="32"/>
  <c r="V122" i="32" s="1"/>
  <c r="T122" i="32"/>
  <c r="U270" i="33" s="1"/>
  <c r="N122" i="32"/>
  <c r="N268" i="33" s="1"/>
  <c r="U121" i="32"/>
  <c r="V121" i="32" s="1"/>
  <c r="T121" i="32"/>
  <c r="U269" i="33" s="1"/>
  <c r="N121" i="32"/>
  <c r="N267" i="33" s="1"/>
  <c r="U120" i="32"/>
  <c r="V120" i="32" s="1"/>
  <c r="T120" i="32"/>
  <c r="U268" i="33" s="1"/>
  <c r="N120" i="32"/>
  <c r="N266" i="33" s="1"/>
  <c r="U119" i="32"/>
  <c r="V119" i="32" s="1"/>
  <c r="T119" i="32"/>
  <c r="U267" i="33" s="1"/>
  <c r="N119" i="32"/>
  <c r="N265" i="33" s="1"/>
  <c r="U118" i="32"/>
  <c r="V118" i="32" s="1"/>
  <c r="T118" i="32"/>
  <c r="U266" i="33" s="1"/>
  <c r="N118" i="32"/>
  <c r="N264" i="33" s="1"/>
  <c r="U117" i="32"/>
  <c r="V117" i="32" s="1"/>
  <c r="T117" i="32"/>
  <c r="U265" i="33" s="1"/>
  <c r="N117" i="32"/>
  <c r="N263" i="33" s="1"/>
  <c r="U116" i="32"/>
  <c r="V116" i="32" s="1"/>
  <c r="T116" i="32"/>
  <c r="U264" i="33" s="1"/>
  <c r="N116" i="32"/>
  <c r="N262" i="33" s="1"/>
  <c r="U115" i="32"/>
  <c r="V115" i="32" s="1"/>
  <c r="T115" i="32"/>
  <c r="U263" i="33" s="1"/>
  <c r="N115" i="32"/>
  <c r="N261" i="33" s="1"/>
  <c r="U114" i="32"/>
  <c r="V114" i="32" s="1"/>
  <c r="T114" i="32"/>
  <c r="U262" i="33" s="1"/>
  <c r="N114" i="32"/>
  <c r="N260" i="33" s="1"/>
  <c r="U113" i="32"/>
  <c r="V113" i="32" s="1"/>
  <c r="T113" i="32"/>
  <c r="U261" i="33" s="1"/>
  <c r="N113" i="32"/>
  <c r="N259" i="33" s="1"/>
  <c r="U112" i="32"/>
  <c r="V112" i="32" s="1"/>
  <c r="T112" i="32"/>
  <c r="U260" i="33" s="1"/>
  <c r="N112" i="32"/>
  <c r="N258" i="33" s="1"/>
  <c r="U111" i="32"/>
  <c r="V111" i="32" s="1"/>
  <c r="T111" i="32"/>
  <c r="U259" i="33" s="1"/>
  <c r="N111" i="32"/>
  <c r="N257" i="33" s="1"/>
  <c r="U110" i="32"/>
  <c r="V110" i="32" s="1"/>
  <c r="T110" i="32"/>
  <c r="U258" i="33" s="1"/>
  <c r="N110" i="32"/>
  <c r="N256" i="33" s="1"/>
  <c r="U109" i="32"/>
  <c r="V109" i="32" s="1"/>
  <c r="T109" i="32"/>
  <c r="U257" i="33" s="1"/>
  <c r="N109" i="32"/>
  <c r="N255" i="33" s="1"/>
  <c r="U108" i="32"/>
  <c r="V108" i="32" s="1"/>
  <c r="T108" i="32"/>
  <c r="U256" i="33" s="1"/>
  <c r="N108" i="32"/>
  <c r="N254" i="33" s="1"/>
  <c r="U107" i="32"/>
  <c r="V107" i="32" s="1"/>
  <c r="T107" i="32"/>
  <c r="U255" i="33" s="1"/>
  <c r="N107" i="32"/>
  <c r="N253" i="33" s="1"/>
  <c r="U106" i="32"/>
  <c r="V106" i="32" s="1"/>
  <c r="T106" i="32"/>
  <c r="U254" i="33" s="1"/>
  <c r="N106" i="32"/>
  <c r="N252" i="33" s="1"/>
  <c r="U105" i="32"/>
  <c r="V105" i="32" s="1"/>
  <c r="T105" i="32"/>
  <c r="U253" i="33" s="1"/>
  <c r="N105" i="32"/>
  <c r="N251" i="33" s="1"/>
  <c r="U104" i="32"/>
  <c r="V104" i="32" s="1"/>
  <c r="T104" i="32"/>
  <c r="U252" i="33" s="1"/>
  <c r="N104" i="32"/>
  <c r="N250" i="33" s="1"/>
  <c r="U103" i="32"/>
  <c r="V103" i="32" s="1"/>
  <c r="T103" i="32"/>
  <c r="U251" i="33" s="1"/>
  <c r="N103" i="32"/>
  <c r="N249" i="33" s="1"/>
  <c r="U102" i="32"/>
  <c r="V102" i="32" s="1"/>
  <c r="T102" i="32"/>
  <c r="U250" i="33" s="1"/>
  <c r="N102" i="32"/>
  <c r="N248" i="33" s="1"/>
  <c r="U101" i="32"/>
  <c r="V101" i="32" s="1"/>
  <c r="T101" i="32"/>
  <c r="U249" i="33" s="1"/>
  <c r="N101" i="32"/>
  <c r="N247" i="33" s="1"/>
  <c r="U100" i="32"/>
  <c r="V100" i="32" s="1"/>
  <c r="T100" i="32"/>
  <c r="U248" i="33" s="1"/>
  <c r="N100" i="32"/>
  <c r="N246" i="33" s="1"/>
  <c r="U99" i="32"/>
  <c r="V99" i="32" s="1"/>
  <c r="T99" i="32"/>
  <c r="U247" i="33" s="1"/>
  <c r="N99" i="32"/>
  <c r="N245" i="33" s="1"/>
  <c r="U98" i="32"/>
  <c r="V98" i="32" s="1"/>
  <c r="T98" i="32"/>
  <c r="U246" i="33" s="1"/>
  <c r="N98" i="32"/>
  <c r="N244" i="33" s="1"/>
  <c r="U97" i="32"/>
  <c r="V97" i="32" s="1"/>
  <c r="T97" i="32"/>
  <c r="U245" i="33" s="1"/>
  <c r="N97" i="32"/>
  <c r="N243" i="33" s="1"/>
  <c r="U96" i="32"/>
  <c r="V96" i="32" s="1"/>
  <c r="T96" i="32"/>
  <c r="U244" i="33" s="1"/>
  <c r="N96" i="32"/>
  <c r="N242" i="33" s="1"/>
  <c r="U95" i="32"/>
  <c r="V95" i="32" s="1"/>
  <c r="T95" i="32"/>
  <c r="U243" i="33" s="1"/>
  <c r="N95" i="32"/>
  <c r="N241" i="33" s="1"/>
  <c r="U94" i="32"/>
  <c r="V94" i="32" s="1"/>
  <c r="T94" i="32"/>
  <c r="U242" i="33" s="1"/>
  <c r="N94" i="32"/>
  <c r="N240" i="33" s="1"/>
  <c r="U93" i="32"/>
  <c r="V93" i="32" s="1"/>
  <c r="T93" i="32"/>
  <c r="U241" i="33" s="1"/>
  <c r="N93" i="32"/>
  <c r="N239" i="33" s="1"/>
  <c r="U92" i="32"/>
  <c r="V92" i="32" s="1"/>
  <c r="T92" i="32"/>
  <c r="U240" i="33" s="1"/>
  <c r="N92" i="32"/>
  <c r="N238" i="33" s="1"/>
  <c r="U91" i="32"/>
  <c r="V91" i="32" s="1"/>
  <c r="T91" i="32"/>
  <c r="U239" i="33" s="1"/>
  <c r="N91" i="32"/>
  <c r="N237" i="33" s="1"/>
  <c r="U90" i="32"/>
  <c r="V90" i="32" s="1"/>
  <c r="T90" i="32"/>
  <c r="U238" i="33" s="1"/>
  <c r="N90" i="32"/>
  <c r="N236" i="33" s="1"/>
  <c r="U89" i="32"/>
  <c r="V89" i="32" s="1"/>
  <c r="T89" i="32"/>
  <c r="U237" i="33" s="1"/>
  <c r="N89" i="32"/>
  <c r="N235" i="33" s="1"/>
  <c r="U88" i="32"/>
  <c r="V88" i="32" s="1"/>
  <c r="T88" i="32"/>
  <c r="U236" i="33" s="1"/>
  <c r="N88" i="32"/>
  <c r="N234" i="33" s="1"/>
  <c r="U87" i="32"/>
  <c r="V87" i="32" s="1"/>
  <c r="T87" i="32"/>
  <c r="U235" i="33" s="1"/>
  <c r="N87" i="32"/>
  <c r="N233" i="33" s="1"/>
  <c r="U86" i="32"/>
  <c r="V86" i="32" s="1"/>
  <c r="T86" i="32"/>
  <c r="U234" i="33" s="1"/>
  <c r="N86" i="32"/>
  <c r="N232" i="33" s="1"/>
  <c r="U85" i="32"/>
  <c r="V85" i="32" s="1"/>
  <c r="T85" i="32"/>
  <c r="U233" i="33" s="1"/>
  <c r="N85" i="32"/>
  <c r="N231" i="33" s="1"/>
  <c r="U84" i="32"/>
  <c r="V84" i="32" s="1"/>
  <c r="T84" i="32"/>
  <c r="U232" i="33" s="1"/>
  <c r="N84" i="32"/>
  <c r="N230" i="33" s="1"/>
  <c r="U83" i="32"/>
  <c r="V83" i="32" s="1"/>
  <c r="T83" i="32"/>
  <c r="U231" i="33" s="1"/>
  <c r="N83" i="32"/>
  <c r="N229" i="33" s="1"/>
  <c r="U82" i="32"/>
  <c r="V82" i="32" s="1"/>
  <c r="T82" i="32"/>
  <c r="U230" i="33" s="1"/>
  <c r="N82" i="32"/>
  <c r="N228" i="33" s="1"/>
  <c r="U81" i="32"/>
  <c r="V81" i="32" s="1"/>
  <c r="T81" i="32"/>
  <c r="U229" i="33" s="1"/>
  <c r="N81" i="32"/>
  <c r="N227" i="33" s="1"/>
  <c r="U80" i="32"/>
  <c r="V80" i="32" s="1"/>
  <c r="T80" i="32"/>
  <c r="U228" i="33" s="1"/>
  <c r="N80" i="32"/>
  <c r="N226" i="33" s="1"/>
  <c r="U79" i="32"/>
  <c r="V79" i="32" s="1"/>
  <c r="T79" i="32"/>
  <c r="U227" i="33" s="1"/>
  <c r="N79" i="32"/>
  <c r="N225" i="33" s="1"/>
  <c r="U78" i="32"/>
  <c r="V78" i="32" s="1"/>
  <c r="T78" i="32"/>
  <c r="U226" i="33" s="1"/>
  <c r="N78" i="32"/>
  <c r="N224" i="33" s="1"/>
  <c r="U77" i="32"/>
  <c r="V77" i="32" s="1"/>
  <c r="T77" i="32"/>
  <c r="U225" i="33" s="1"/>
  <c r="N77" i="32"/>
  <c r="N223" i="33" s="1"/>
  <c r="U76" i="32"/>
  <c r="V76" i="32" s="1"/>
  <c r="T76" i="32"/>
  <c r="U224" i="33" s="1"/>
  <c r="N76" i="32"/>
  <c r="N222" i="33" s="1"/>
  <c r="U75" i="32"/>
  <c r="V75" i="32" s="1"/>
  <c r="T75" i="32"/>
  <c r="U223" i="33" s="1"/>
  <c r="N75" i="32"/>
  <c r="N221" i="33" s="1"/>
  <c r="U74" i="32"/>
  <c r="V74" i="32" s="1"/>
  <c r="T74" i="32"/>
  <c r="U222" i="33" s="1"/>
  <c r="N74" i="32"/>
  <c r="N220" i="33" s="1"/>
  <c r="U73" i="32"/>
  <c r="V73" i="32" s="1"/>
  <c r="T73" i="32"/>
  <c r="U221" i="33" s="1"/>
  <c r="N73" i="32"/>
  <c r="N219" i="33" s="1"/>
  <c r="U72" i="32"/>
  <c r="V72" i="32" s="1"/>
  <c r="T72" i="32"/>
  <c r="U220" i="33" s="1"/>
  <c r="N72" i="32"/>
  <c r="N218" i="33" s="1"/>
  <c r="U71" i="32"/>
  <c r="V71" i="32" s="1"/>
  <c r="T71" i="32"/>
  <c r="U219" i="33" s="1"/>
  <c r="N71" i="32"/>
  <c r="N217" i="33" s="1"/>
  <c r="U70" i="32"/>
  <c r="V70" i="32" s="1"/>
  <c r="T70" i="32"/>
  <c r="U218" i="33" s="1"/>
  <c r="N70" i="32"/>
  <c r="N216" i="33" s="1"/>
  <c r="U69" i="32"/>
  <c r="V69" i="32" s="1"/>
  <c r="T69" i="32"/>
  <c r="U217" i="33" s="1"/>
  <c r="N69" i="32"/>
  <c r="N215" i="33" s="1"/>
  <c r="U68" i="32"/>
  <c r="V68" i="32" s="1"/>
  <c r="T68" i="32"/>
  <c r="U216" i="33" s="1"/>
  <c r="N68" i="32"/>
  <c r="N214" i="33" s="1"/>
  <c r="U67" i="32"/>
  <c r="V67" i="32" s="1"/>
  <c r="T67" i="32"/>
  <c r="U215" i="33" s="1"/>
  <c r="N67" i="32"/>
  <c r="N213" i="33" s="1"/>
  <c r="U66" i="32"/>
  <c r="V66" i="32" s="1"/>
  <c r="T66" i="32"/>
  <c r="U214" i="33" s="1"/>
  <c r="N66" i="32"/>
  <c r="N212" i="33" s="1"/>
  <c r="U65" i="32"/>
  <c r="V65" i="32" s="1"/>
  <c r="T65" i="32"/>
  <c r="U213" i="33" s="1"/>
  <c r="N65" i="32"/>
  <c r="N211" i="33" s="1"/>
  <c r="U64" i="32"/>
  <c r="V64" i="32" s="1"/>
  <c r="T64" i="32"/>
  <c r="U212" i="33" s="1"/>
  <c r="N64" i="32"/>
  <c r="N210" i="33" s="1"/>
  <c r="U63" i="32"/>
  <c r="V63" i="32" s="1"/>
  <c r="T63" i="32"/>
  <c r="U211" i="33" s="1"/>
  <c r="N63" i="32"/>
  <c r="N209" i="33" s="1"/>
  <c r="U62" i="32"/>
  <c r="V62" i="32" s="1"/>
  <c r="T62" i="32"/>
  <c r="U210" i="33" s="1"/>
  <c r="N62" i="32"/>
  <c r="N208" i="33" s="1"/>
  <c r="U61" i="32"/>
  <c r="V61" i="32" s="1"/>
  <c r="T61" i="32"/>
  <c r="U209" i="33" s="1"/>
  <c r="N61" i="32"/>
  <c r="N207" i="33" s="1"/>
  <c r="U60" i="32"/>
  <c r="V60" i="32" s="1"/>
  <c r="T60" i="32"/>
  <c r="U208" i="33" s="1"/>
  <c r="N60" i="32"/>
  <c r="N206" i="33" s="1"/>
  <c r="U59" i="32"/>
  <c r="V59" i="32" s="1"/>
  <c r="T59" i="32"/>
  <c r="U207" i="33" s="1"/>
  <c r="N59" i="32"/>
  <c r="N205" i="33" s="1"/>
  <c r="U58" i="32"/>
  <c r="V58" i="32" s="1"/>
  <c r="T58" i="32"/>
  <c r="U206" i="33" s="1"/>
  <c r="N58" i="32"/>
  <c r="N204" i="33" s="1"/>
  <c r="U57" i="32"/>
  <c r="V57" i="32" s="1"/>
  <c r="T57" i="32"/>
  <c r="U205" i="33" s="1"/>
  <c r="N57" i="32"/>
  <c r="N203" i="33" s="1"/>
  <c r="U56" i="32"/>
  <c r="V56" i="32" s="1"/>
  <c r="T56" i="32"/>
  <c r="U204" i="33" s="1"/>
  <c r="N56" i="32"/>
  <c r="N202" i="33" s="1"/>
  <c r="U55" i="32"/>
  <c r="V55" i="32" s="1"/>
  <c r="T55" i="32"/>
  <c r="U203" i="33" s="1"/>
  <c r="N55" i="32"/>
  <c r="N201" i="33" s="1"/>
  <c r="U54" i="32"/>
  <c r="V54" i="32" s="1"/>
  <c r="T54" i="32"/>
  <c r="U202" i="33" s="1"/>
  <c r="N54" i="32"/>
  <c r="N200" i="33" s="1"/>
  <c r="U53" i="32"/>
  <c r="V53" i="32" s="1"/>
  <c r="T53" i="32"/>
  <c r="U201" i="33" s="1"/>
  <c r="N53" i="32"/>
  <c r="N199" i="33" s="1"/>
  <c r="U52" i="32"/>
  <c r="V52" i="32" s="1"/>
  <c r="T52" i="32"/>
  <c r="U200" i="33" s="1"/>
  <c r="N52" i="32"/>
  <c r="N198" i="33" s="1"/>
  <c r="U51" i="32"/>
  <c r="V51" i="32" s="1"/>
  <c r="T51" i="32"/>
  <c r="U199" i="33" s="1"/>
  <c r="N51" i="32"/>
  <c r="N197" i="33" s="1"/>
  <c r="U50" i="32"/>
  <c r="V50" i="32" s="1"/>
  <c r="T50" i="32"/>
  <c r="U198" i="33" s="1"/>
  <c r="N50" i="32"/>
  <c r="N196" i="33" s="1"/>
  <c r="U49" i="32"/>
  <c r="V49" i="32" s="1"/>
  <c r="T49" i="32"/>
  <c r="U197" i="33" s="1"/>
  <c r="N49" i="32"/>
  <c r="N195" i="33" s="1"/>
  <c r="U48" i="32"/>
  <c r="V48" i="32" s="1"/>
  <c r="T48" i="32"/>
  <c r="U196" i="33" s="1"/>
  <c r="N48" i="32"/>
  <c r="N194" i="33" s="1"/>
  <c r="U47" i="32"/>
  <c r="V47" i="32" s="1"/>
  <c r="T47" i="32"/>
  <c r="U195" i="33" s="1"/>
  <c r="N47" i="32"/>
  <c r="N193" i="33" s="1"/>
  <c r="U46" i="32"/>
  <c r="V46" i="32" s="1"/>
  <c r="T46" i="32"/>
  <c r="U194" i="33" s="1"/>
  <c r="N46" i="32"/>
  <c r="N192" i="33" s="1"/>
  <c r="U45" i="32"/>
  <c r="V45" i="32" s="1"/>
  <c r="T45" i="32"/>
  <c r="U193" i="33" s="1"/>
  <c r="N45" i="32"/>
  <c r="N191" i="33" s="1"/>
  <c r="U44" i="32"/>
  <c r="V44" i="32" s="1"/>
  <c r="T44" i="32"/>
  <c r="U192" i="33" s="1"/>
  <c r="N44" i="32"/>
  <c r="N190" i="33" s="1"/>
  <c r="U43" i="32"/>
  <c r="V43" i="32" s="1"/>
  <c r="T43" i="32"/>
  <c r="U191" i="33" s="1"/>
  <c r="N43" i="32"/>
  <c r="N189" i="33" s="1"/>
  <c r="U42" i="32"/>
  <c r="V42" i="32" s="1"/>
  <c r="T42" i="32"/>
  <c r="U190" i="33" s="1"/>
  <c r="N42" i="32"/>
  <c r="N188" i="33" s="1"/>
  <c r="U41" i="32"/>
  <c r="V41" i="32" s="1"/>
  <c r="T41" i="32"/>
  <c r="U189" i="33" s="1"/>
  <c r="N41" i="32"/>
  <c r="N187" i="33" s="1"/>
  <c r="U40" i="32"/>
  <c r="V40" i="32" s="1"/>
  <c r="T40" i="32"/>
  <c r="U188" i="33" s="1"/>
  <c r="N40" i="32"/>
  <c r="N186" i="33" s="1"/>
  <c r="U39" i="32"/>
  <c r="V39" i="32" s="1"/>
  <c r="T39" i="32"/>
  <c r="U187" i="33" s="1"/>
  <c r="N39" i="32"/>
  <c r="N185" i="33" s="1"/>
  <c r="U38" i="32"/>
  <c r="V38" i="32" s="1"/>
  <c r="T38" i="32"/>
  <c r="U186" i="33" s="1"/>
  <c r="N38" i="32"/>
  <c r="N184" i="33" s="1"/>
  <c r="U37" i="32"/>
  <c r="V37" i="32" s="1"/>
  <c r="T37" i="32"/>
  <c r="U185" i="33" s="1"/>
  <c r="N37" i="32"/>
  <c r="N183" i="33" s="1"/>
  <c r="U36" i="32"/>
  <c r="V36" i="32" s="1"/>
  <c r="T36" i="32"/>
  <c r="U184" i="33" s="1"/>
  <c r="N36" i="32"/>
  <c r="N182" i="33" s="1"/>
  <c r="U35" i="32"/>
  <c r="V35" i="32" s="1"/>
  <c r="T35" i="32"/>
  <c r="U183" i="33" s="1"/>
  <c r="N35" i="32"/>
  <c r="N181" i="33" s="1"/>
  <c r="U34" i="32"/>
  <c r="V34" i="32" s="1"/>
  <c r="T34" i="32"/>
  <c r="U182" i="33" s="1"/>
  <c r="N34" i="32"/>
  <c r="N180" i="33" s="1"/>
  <c r="U33" i="32"/>
  <c r="V33" i="32" s="1"/>
  <c r="T33" i="32"/>
  <c r="U181" i="33" s="1"/>
  <c r="N33" i="32"/>
  <c r="N179" i="33" s="1"/>
  <c r="U32" i="32"/>
  <c r="V32" i="32" s="1"/>
  <c r="T32" i="32"/>
  <c r="U180" i="33" s="1"/>
  <c r="N32" i="32"/>
  <c r="N178" i="33" s="1"/>
  <c r="U31" i="32"/>
  <c r="V31" i="32" s="1"/>
  <c r="T31" i="32"/>
  <c r="U179" i="33" s="1"/>
  <c r="N31" i="32"/>
  <c r="N177" i="33" s="1"/>
  <c r="U30" i="32"/>
  <c r="V30" i="32" s="1"/>
  <c r="T30" i="32"/>
  <c r="U178" i="33" s="1"/>
  <c r="N30" i="32"/>
  <c r="N176" i="33" s="1"/>
  <c r="U29" i="32"/>
  <c r="V29" i="32" s="1"/>
  <c r="T29" i="32"/>
  <c r="U177" i="33" s="1"/>
  <c r="N29" i="32"/>
  <c r="N175" i="33" s="1"/>
  <c r="U28" i="32"/>
  <c r="V28" i="32" s="1"/>
  <c r="N28" i="32"/>
  <c r="N174" i="33" s="1"/>
  <c r="U27" i="32"/>
  <c r="V27" i="32" s="1"/>
  <c r="T27" i="32"/>
  <c r="U175" i="33" s="1"/>
  <c r="N27" i="32"/>
  <c r="N173" i="33" s="1"/>
  <c r="U26" i="32"/>
  <c r="V26" i="32" s="1"/>
  <c r="T26" i="32"/>
  <c r="U174" i="33" s="1"/>
  <c r="N26" i="32"/>
  <c r="N172" i="33" s="1"/>
  <c r="U25" i="32"/>
  <c r="V25" i="32" s="1"/>
  <c r="N25" i="32"/>
  <c r="N171" i="33" s="1"/>
  <c r="U24" i="32"/>
  <c r="V24" i="32" s="1"/>
  <c r="N24" i="32"/>
  <c r="N170" i="33" s="1"/>
  <c r="U23" i="32"/>
  <c r="V23" i="32" s="1"/>
  <c r="N23" i="32"/>
  <c r="W170" i="33"/>
  <c r="N22" i="32"/>
  <c r="AH16" i="35" l="1" a="1"/>
  <c r="AH16" i="35" s="1"/>
  <c r="T40" i="35" s="1"/>
  <c r="AI15" i="35"/>
  <c r="V172" i="33"/>
  <c r="N11" i="32"/>
  <c r="X25" i="33"/>
  <c r="Z25" i="33"/>
  <c r="X27" i="33"/>
  <c r="Z27" i="33"/>
  <c r="X29" i="33"/>
  <c r="Z29" i="33"/>
  <c r="X31" i="33"/>
  <c r="Z31" i="33"/>
  <c r="X33" i="33"/>
  <c r="Z33" i="33"/>
  <c r="X35" i="33"/>
  <c r="X37" i="33"/>
  <c r="Z37" i="33"/>
  <c r="X39" i="33"/>
  <c r="Z39" i="33"/>
  <c r="X41" i="33"/>
  <c r="Z41" i="33"/>
  <c r="X45" i="33"/>
  <c r="Z45" i="33"/>
  <c r="X49" i="33"/>
  <c r="X53" i="33"/>
  <c r="Z53" i="33"/>
  <c r="X57" i="33"/>
  <c r="Z57" i="33"/>
  <c r="X61" i="33"/>
  <c r="Z61" i="33"/>
  <c r="X65" i="33"/>
  <c r="Z65" i="33"/>
  <c r="X69" i="33"/>
  <c r="Z69" i="33"/>
  <c r="X73" i="33"/>
  <c r="X77" i="33"/>
  <c r="Z77" i="33"/>
  <c r="X81" i="33"/>
  <c r="X85" i="33"/>
  <c r="Z85" i="33"/>
  <c r="X89" i="33"/>
  <c r="Z89" i="33"/>
  <c r="X93" i="33"/>
  <c r="Z93" i="33"/>
  <c r="X97" i="33"/>
  <c r="Z97" i="33"/>
  <c r="X101" i="33"/>
  <c r="Z101" i="33"/>
  <c r="X105" i="33"/>
  <c r="Z105" i="33"/>
  <c r="X109" i="33"/>
  <c r="Z109" i="33"/>
  <c r="X113" i="33"/>
  <c r="X117" i="33"/>
  <c r="Z117" i="33"/>
  <c r="X121" i="33"/>
  <c r="X21" i="33"/>
  <c r="X124" i="33"/>
  <c r="Z124" i="33"/>
  <c r="X126" i="33"/>
  <c r="Z126" i="33"/>
  <c r="X132" i="33"/>
  <c r="Z132" i="33"/>
  <c r="X134" i="33"/>
  <c r="Z134" i="33"/>
  <c r="X140" i="33"/>
  <c r="Z140" i="33"/>
  <c r="X142" i="33"/>
  <c r="X148" i="33"/>
  <c r="X150" i="33"/>
  <c r="Z150" i="33"/>
  <c r="X156" i="33"/>
  <c r="Z156" i="33"/>
  <c r="X158" i="33"/>
  <c r="Z158" i="33"/>
  <c r="X162" i="33"/>
  <c r="Z162" i="33"/>
  <c r="X164" i="33"/>
  <c r="Z164" i="33"/>
  <c r="X166" i="33"/>
  <c r="X168" i="33"/>
  <c r="Z168" i="33"/>
  <c r="X23" i="33"/>
  <c r="Z23" i="33"/>
  <c r="X19" i="33"/>
  <c r="Q171" i="33"/>
  <c r="Q23" i="32"/>
  <c r="Q173" i="33"/>
  <c r="Q25" i="32"/>
  <c r="V173" i="33"/>
  <c r="W25" i="32"/>
  <c r="X173" i="33" s="1"/>
  <c r="W174" i="33"/>
  <c r="V174" i="33"/>
  <c r="W26" i="32"/>
  <c r="X174" i="33" s="1"/>
  <c r="Q175" i="33"/>
  <c r="Q27" i="32"/>
  <c r="Q176" i="33"/>
  <c r="Q28" i="32"/>
  <c r="V176" i="33"/>
  <c r="W28" i="32"/>
  <c r="X176" i="33" s="1"/>
  <c r="W177" i="33"/>
  <c r="V177" i="33"/>
  <c r="W29" i="32"/>
  <c r="X177" i="33" s="1"/>
  <c r="Q178" i="33"/>
  <c r="Q30" i="32"/>
  <c r="Q179" i="33"/>
  <c r="Q31" i="32"/>
  <c r="V179" i="33"/>
  <c r="W31" i="32"/>
  <c r="X179" i="33" s="1"/>
  <c r="W180" i="33"/>
  <c r="V180" i="33"/>
  <c r="W32" i="32"/>
  <c r="X180" i="33" s="1"/>
  <c r="Y33" i="32"/>
  <c r="Z181" i="33" s="1"/>
  <c r="V181" i="33"/>
  <c r="W33" i="32"/>
  <c r="X181" i="33" s="1"/>
  <c r="Q182" i="33"/>
  <c r="Q34" i="32"/>
  <c r="Q183" i="33"/>
  <c r="Q35" i="32"/>
  <c r="W183" i="33"/>
  <c r="V183" i="33"/>
  <c r="W35" i="32"/>
  <c r="X183" i="33" s="1"/>
  <c r="W184" i="33"/>
  <c r="V184" i="33"/>
  <c r="W36" i="32"/>
  <c r="X184" i="33" s="1"/>
  <c r="W185" i="33"/>
  <c r="V185" i="33"/>
  <c r="W37" i="32"/>
  <c r="X185" i="33" s="1"/>
  <c r="Q186" i="33"/>
  <c r="Q38" i="32"/>
  <c r="Q187" i="33"/>
  <c r="Q39" i="32"/>
  <c r="V187" i="33"/>
  <c r="W39" i="32"/>
  <c r="X187" i="33" s="1"/>
  <c r="V188" i="33"/>
  <c r="W40" i="32"/>
  <c r="X188" i="33" s="1"/>
  <c r="V189" i="33"/>
  <c r="W41" i="32"/>
  <c r="X189" i="33" s="1"/>
  <c r="V190" i="33"/>
  <c r="W42" i="32"/>
  <c r="X190" i="33" s="1"/>
  <c r="Q191" i="33"/>
  <c r="Q43" i="32"/>
  <c r="Q192" i="33"/>
  <c r="Q44" i="32"/>
  <c r="V192" i="33"/>
  <c r="W44" i="32"/>
  <c r="X192" i="33" s="1"/>
  <c r="V193" i="33"/>
  <c r="W45" i="32"/>
  <c r="X193" i="33" s="1"/>
  <c r="Q194" i="33"/>
  <c r="Q46" i="32"/>
  <c r="Q195" i="33"/>
  <c r="Q47" i="32"/>
  <c r="V195" i="33"/>
  <c r="W47" i="32"/>
  <c r="X195" i="33" s="1"/>
  <c r="V196" i="33"/>
  <c r="W48" i="32"/>
  <c r="X196" i="33" s="1"/>
  <c r="Q197" i="33"/>
  <c r="Q49" i="32"/>
  <c r="Q198" i="33"/>
  <c r="Q50" i="32"/>
  <c r="V198" i="33"/>
  <c r="W50" i="32"/>
  <c r="X198" i="33" s="1"/>
  <c r="Q199" i="33"/>
  <c r="Q51" i="32"/>
  <c r="Q200" i="33"/>
  <c r="Q52" i="32"/>
  <c r="V200" i="33"/>
  <c r="W52" i="32"/>
  <c r="X200" i="33" s="1"/>
  <c r="Q201" i="33"/>
  <c r="Q53" i="32"/>
  <c r="Q202" i="33"/>
  <c r="Q54" i="32"/>
  <c r="V202" i="33"/>
  <c r="W54" i="32"/>
  <c r="X202" i="33" s="1"/>
  <c r="V203" i="33"/>
  <c r="W55" i="32"/>
  <c r="X203" i="33" s="1"/>
  <c r="Q204" i="33"/>
  <c r="Q56" i="32"/>
  <c r="Q205" i="33"/>
  <c r="Q57" i="32"/>
  <c r="V205" i="33"/>
  <c r="W57" i="32"/>
  <c r="X205" i="33" s="1"/>
  <c r="V206" i="33"/>
  <c r="W58" i="32"/>
  <c r="X206" i="33" s="1"/>
  <c r="Q207" i="33"/>
  <c r="Q59" i="32"/>
  <c r="Q208" i="33"/>
  <c r="Q60" i="32"/>
  <c r="V208" i="33"/>
  <c r="W60" i="32"/>
  <c r="X208" i="33" s="1"/>
  <c r="V209" i="33"/>
  <c r="W61" i="32"/>
  <c r="X209" i="33" s="1"/>
  <c r="V210" i="33"/>
  <c r="W62" i="32"/>
  <c r="X210" i="33" s="1"/>
  <c r="Q211" i="33"/>
  <c r="Q63" i="32"/>
  <c r="Q212" i="33"/>
  <c r="Q64" i="32"/>
  <c r="V212" i="33"/>
  <c r="W64" i="32"/>
  <c r="X212" i="33" s="1"/>
  <c r="V213" i="33"/>
  <c r="W65" i="32"/>
  <c r="X213" i="33" s="1"/>
  <c r="Q214" i="33"/>
  <c r="Q66" i="32"/>
  <c r="Q215" i="33"/>
  <c r="Q67" i="32"/>
  <c r="V215" i="33"/>
  <c r="W67" i="32"/>
  <c r="X215" i="33" s="1"/>
  <c r="V216" i="33"/>
  <c r="W68" i="32"/>
  <c r="X216" i="33" s="1"/>
  <c r="V217" i="33"/>
  <c r="W69" i="32"/>
  <c r="X217" i="33" s="1"/>
  <c r="V218" i="33"/>
  <c r="W70" i="32"/>
  <c r="X218" i="33" s="1"/>
  <c r="V219" i="33"/>
  <c r="W71" i="32"/>
  <c r="X219" i="33" s="1"/>
  <c r="V220" i="33"/>
  <c r="W72" i="32"/>
  <c r="X220" i="33" s="1"/>
  <c r="V221" i="33"/>
  <c r="W73" i="32"/>
  <c r="X221" i="33" s="1"/>
  <c r="Q222" i="33"/>
  <c r="Q74" i="32"/>
  <c r="Q223" i="33"/>
  <c r="Q75" i="32"/>
  <c r="V223" i="33"/>
  <c r="W75" i="32"/>
  <c r="X223" i="33" s="1"/>
  <c r="V224" i="33"/>
  <c r="W76" i="32"/>
  <c r="X224" i="33" s="1"/>
  <c r="Q225" i="33"/>
  <c r="Q77" i="32"/>
  <c r="Q226" i="33"/>
  <c r="Q78" i="32"/>
  <c r="V226" i="33"/>
  <c r="W78" i="32"/>
  <c r="X226" i="33" s="1"/>
  <c r="V227" i="33"/>
  <c r="W79" i="32"/>
  <c r="X227" i="33" s="1"/>
  <c r="Q228" i="33"/>
  <c r="Q80" i="32"/>
  <c r="V228" i="33"/>
  <c r="W80" i="32"/>
  <c r="X228" i="33" s="1"/>
  <c r="Q229" i="33"/>
  <c r="Q81" i="32"/>
  <c r="Q230" i="33"/>
  <c r="Q82" i="32"/>
  <c r="V230" i="33"/>
  <c r="W82" i="32"/>
  <c r="X230" i="33" s="1"/>
  <c r="Q231" i="33"/>
  <c r="Q83" i="32"/>
  <c r="V231" i="33"/>
  <c r="W83" i="32"/>
  <c r="X231" i="33" s="1"/>
  <c r="Q232" i="33"/>
  <c r="Q84" i="32"/>
  <c r="V232" i="33"/>
  <c r="W84" i="32"/>
  <c r="X232" i="33" s="1"/>
  <c r="Q233" i="33"/>
  <c r="Q85" i="32"/>
  <c r="V233" i="33"/>
  <c r="W85" i="32"/>
  <c r="X233" i="33" s="1"/>
  <c r="Q234" i="33"/>
  <c r="Q86" i="32"/>
  <c r="V234" i="33"/>
  <c r="W86" i="32"/>
  <c r="X234" i="33" s="1"/>
  <c r="Q235" i="33"/>
  <c r="Q87" i="32"/>
  <c r="V235" i="33"/>
  <c r="W87" i="32"/>
  <c r="X235" i="33" s="1"/>
  <c r="Q236" i="33"/>
  <c r="Q88" i="32"/>
  <c r="V236" i="33"/>
  <c r="W88" i="32"/>
  <c r="X236" i="33" s="1"/>
  <c r="Q237" i="33"/>
  <c r="Q89" i="32"/>
  <c r="Q238" i="33"/>
  <c r="Q90" i="32"/>
  <c r="V238" i="33"/>
  <c r="W90" i="32"/>
  <c r="X238" i="33" s="1"/>
  <c r="Q239" i="33"/>
  <c r="Q91" i="32"/>
  <c r="V239" i="33"/>
  <c r="W91" i="32"/>
  <c r="X239" i="33" s="1"/>
  <c r="Q240" i="33"/>
  <c r="Q92" i="32"/>
  <c r="V240" i="33"/>
  <c r="W92" i="32"/>
  <c r="X240" i="33" s="1"/>
  <c r="Q241" i="33"/>
  <c r="Q93" i="32"/>
  <c r="V241" i="33"/>
  <c r="W93" i="32"/>
  <c r="X241" i="33" s="1"/>
  <c r="Q242" i="33"/>
  <c r="Q94" i="32"/>
  <c r="W242" i="33"/>
  <c r="V242" i="33"/>
  <c r="W94" i="32"/>
  <c r="X242" i="33" s="1"/>
  <c r="Q243" i="33"/>
  <c r="Q95" i="32"/>
  <c r="W243" i="33"/>
  <c r="V243" i="33"/>
  <c r="W95" i="32"/>
  <c r="X243" i="33" s="1"/>
  <c r="Q244" i="33"/>
  <c r="Q96" i="32"/>
  <c r="V244" i="33"/>
  <c r="W96" i="32"/>
  <c r="X244" i="33" s="1"/>
  <c r="Q245" i="33"/>
  <c r="Q97" i="32"/>
  <c r="W245" i="33"/>
  <c r="V245" i="33"/>
  <c r="W97" i="32"/>
  <c r="X245" i="33" s="1"/>
  <c r="Q246" i="33"/>
  <c r="Q98" i="32"/>
  <c r="V246" i="33"/>
  <c r="W98" i="32"/>
  <c r="X246" i="33" s="1"/>
  <c r="Q247" i="33"/>
  <c r="Q99" i="32"/>
  <c r="V247" i="33"/>
  <c r="W99" i="32"/>
  <c r="X247" i="33" s="1"/>
  <c r="Q248" i="33"/>
  <c r="Q100" i="32"/>
  <c r="V248" i="33"/>
  <c r="W100" i="32"/>
  <c r="X248" i="33" s="1"/>
  <c r="Q249" i="33"/>
  <c r="Q101" i="32"/>
  <c r="V249" i="33"/>
  <c r="W101" i="32"/>
  <c r="X249" i="33" s="1"/>
  <c r="Q250" i="33"/>
  <c r="Q102" i="32"/>
  <c r="V250" i="33"/>
  <c r="W102" i="32"/>
  <c r="X250" i="33" s="1"/>
  <c r="Q251" i="33"/>
  <c r="Q103" i="32"/>
  <c r="V251" i="33"/>
  <c r="W103" i="32"/>
  <c r="X251" i="33" s="1"/>
  <c r="Q252" i="33"/>
  <c r="Q104" i="32"/>
  <c r="V252" i="33"/>
  <c r="W104" i="32"/>
  <c r="X252" i="33" s="1"/>
  <c r="Q253" i="33"/>
  <c r="Q105" i="32"/>
  <c r="V253" i="33"/>
  <c r="W105" i="32"/>
  <c r="X253" i="33" s="1"/>
  <c r="Q254" i="33"/>
  <c r="Q106" i="32"/>
  <c r="V254" i="33"/>
  <c r="W106" i="32"/>
  <c r="X254" i="33" s="1"/>
  <c r="Q255" i="33"/>
  <c r="Q107" i="32"/>
  <c r="V255" i="33"/>
  <c r="W107" i="32"/>
  <c r="X255" i="33" s="1"/>
  <c r="Q256" i="33"/>
  <c r="Q108" i="32"/>
  <c r="V256" i="33"/>
  <c r="W108" i="32"/>
  <c r="X256" i="33" s="1"/>
  <c r="Q257" i="33"/>
  <c r="Q109" i="32"/>
  <c r="V257" i="33"/>
  <c r="W109" i="32"/>
  <c r="X257" i="33" s="1"/>
  <c r="Q258" i="33"/>
  <c r="Q110" i="32"/>
  <c r="V258" i="33"/>
  <c r="W110" i="32"/>
  <c r="X258" i="33" s="1"/>
  <c r="Q259" i="33"/>
  <c r="Q111" i="32"/>
  <c r="V259" i="33"/>
  <c r="W111" i="32"/>
  <c r="X259" i="33" s="1"/>
  <c r="Q260" i="33"/>
  <c r="Q112" i="32"/>
  <c r="V260" i="33"/>
  <c r="W112" i="32"/>
  <c r="X260" i="33" s="1"/>
  <c r="Q261" i="33"/>
  <c r="Q113" i="32"/>
  <c r="V261" i="33"/>
  <c r="W113" i="32"/>
  <c r="X261" i="33" s="1"/>
  <c r="Q262" i="33"/>
  <c r="Q114" i="32"/>
  <c r="V262" i="33"/>
  <c r="W114" i="32"/>
  <c r="X262" i="33" s="1"/>
  <c r="Q263" i="33"/>
  <c r="Q115" i="32"/>
  <c r="V263" i="33"/>
  <c r="W115" i="32"/>
  <c r="X263" i="33" s="1"/>
  <c r="Q264" i="33"/>
  <c r="Q116" i="32"/>
  <c r="V264" i="33"/>
  <c r="W116" i="32"/>
  <c r="X264" i="33" s="1"/>
  <c r="Q265" i="33"/>
  <c r="Q117" i="32"/>
  <c r="V265" i="33"/>
  <c r="W117" i="32"/>
  <c r="X265" i="33" s="1"/>
  <c r="Q266" i="33"/>
  <c r="Q118" i="32"/>
  <c r="V266" i="33"/>
  <c r="W118" i="32"/>
  <c r="X266" i="33" s="1"/>
  <c r="Q267" i="33"/>
  <c r="Q119" i="32"/>
  <c r="V267" i="33"/>
  <c r="W119" i="32"/>
  <c r="X267" i="33" s="1"/>
  <c r="Q268" i="33"/>
  <c r="Q120" i="32"/>
  <c r="V268" i="33"/>
  <c r="W120" i="32"/>
  <c r="X268" i="33" s="1"/>
  <c r="Q269" i="33"/>
  <c r="Q121" i="32"/>
  <c r="V269" i="33"/>
  <c r="W121" i="32"/>
  <c r="X269" i="33" s="1"/>
  <c r="Q270" i="33"/>
  <c r="Q122" i="32"/>
  <c r="V270" i="33"/>
  <c r="W122" i="32"/>
  <c r="X270" i="33" s="1"/>
  <c r="Q271" i="33"/>
  <c r="Q123" i="32"/>
  <c r="V271" i="33"/>
  <c r="W123" i="32"/>
  <c r="X271" i="33" s="1"/>
  <c r="Q272" i="33"/>
  <c r="Q124" i="32"/>
  <c r="V272" i="33"/>
  <c r="W124" i="32"/>
  <c r="X272" i="33" s="1"/>
  <c r="Q273" i="33"/>
  <c r="Q125" i="32"/>
  <c r="V273" i="33"/>
  <c r="W125" i="32"/>
  <c r="X273" i="33" s="1"/>
  <c r="Q274" i="33"/>
  <c r="Q126" i="32"/>
  <c r="V274" i="33"/>
  <c r="W126" i="32"/>
  <c r="X274" i="33" s="1"/>
  <c r="Q275" i="33"/>
  <c r="Q127" i="32"/>
  <c r="V275" i="33"/>
  <c r="W127" i="32"/>
  <c r="X275" i="33" s="1"/>
  <c r="Q276" i="33"/>
  <c r="Q128" i="32"/>
  <c r="V276" i="33"/>
  <c r="W128" i="32"/>
  <c r="X276" i="33" s="1"/>
  <c r="Q277" i="33"/>
  <c r="Q129" i="32"/>
  <c r="V277" i="33"/>
  <c r="W129" i="32"/>
  <c r="X277" i="33" s="1"/>
  <c r="V278" i="33"/>
  <c r="W130" i="32"/>
  <c r="X278" i="33" s="1"/>
  <c r="V279" i="33"/>
  <c r="W131" i="32"/>
  <c r="X279" i="33" s="1"/>
  <c r="V280" i="33"/>
  <c r="W132" i="32"/>
  <c r="X280" i="33" s="1"/>
  <c r="Q281" i="33"/>
  <c r="Q133" i="32"/>
  <c r="Q282" i="33"/>
  <c r="Q134" i="32"/>
  <c r="V283" i="33"/>
  <c r="W135" i="32"/>
  <c r="X283" i="33" s="1"/>
  <c r="V284" i="33"/>
  <c r="W136" i="32"/>
  <c r="X284" i="33" s="1"/>
  <c r="Q285" i="33"/>
  <c r="Q137" i="32"/>
  <c r="V286" i="33"/>
  <c r="W138" i="32"/>
  <c r="X286" i="33" s="1"/>
  <c r="V287" i="33"/>
  <c r="W139" i="32"/>
  <c r="X287" i="33" s="1"/>
  <c r="V288" i="33"/>
  <c r="W140" i="32"/>
  <c r="X288" i="33" s="1"/>
  <c r="V289" i="33"/>
  <c r="W141" i="32"/>
  <c r="X289" i="33" s="1"/>
  <c r="V290" i="33"/>
  <c r="W142" i="32"/>
  <c r="X290" i="33" s="1"/>
  <c r="V291" i="33"/>
  <c r="W143" i="32"/>
  <c r="X291" i="33" s="1"/>
  <c r="Q292" i="33"/>
  <c r="Q144" i="32"/>
  <c r="V293" i="33"/>
  <c r="W145" i="32"/>
  <c r="X293" i="33" s="1"/>
  <c r="V294" i="33"/>
  <c r="W146" i="32"/>
  <c r="X294" i="33" s="1"/>
  <c r="V295" i="33"/>
  <c r="W147" i="32"/>
  <c r="X295" i="33" s="1"/>
  <c r="V296" i="33"/>
  <c r="W148" i="32"/>
  <c r="X296" i="33" s="1"/>
  <c r="Q297" i="33"/>
  <c r="Q149" i="32"/>
  <c r="V298" i="33"/>
  <c r="W150" i="32"/>
  <c r="X298" i="33" s="1"/>
  <c r="V299" i="33"/>
  <c r="W151" i="32"/>
  <c r="X299" i="33" s="1"/>
  <c r="V300" i="33"/>
  <c r="W152" i="32"/>
  <c r="X300" i="33" s="1"/>
  <c r="Q301" i="33"/>
  <c r="Q153" i="32"/>
  <c r="Q302" i="33"/>
  <c r="Q154" i="32"/>
  <c r="Q303" i="33"/>
  <c r="Q155" i="32"/>
  <c r="V303" i="33"/>
  <c r="W155" i="32"/>
  <c r="X303" i="33" s="1"/>
  <c r="V304" i="33"/>
  <c r="W156" i="32"/>
  <c r="X304" i="33" s="1"/>
  <c r="Q305" i="33"/>
  <c r="Q157" i="32"/>
  <c r="Q306" i="33"/>
  <c r="Q158" i="32"/>
  <c r="V306" i="33"/>
  <c r="W158" i="32"/>
  <c r="X306" i="33" s="1"/>
  <c r="Q307" i="33"/>
  <c r="Q159" i="32"/>
  <c r="Q308" i="33"/>
  <c r="Q160" i="32"/>
  <c r="V308" i="33"/>
  <c r="W160" i="32"/>
  <c r="X308" i="33" s="1"/>
  <c r="V309" i="33"/>
  <c r="W161" i="32"/>
  <c r="X309" i="33" s="1"/>
  <c r="Q310" i="33"/>
  <c r="Q162" i="32"/>
  <c r="Q311" i="33"/>
  <c r="Q163" i="32"/>
  <c r="V311" i="33"/>
  <c r="W163" i="32"/>
  <c r="X311" i="33" s="1"/>
  <c r="V312" i="33"/>
  <c r="W164" i="32"/>
  <c r="X312" i="33" s="1"/>
  <c r="Q313" i="33"/>
  <c r="Q165" i="32"/>
  <c r="Q314" i="33"/>
  <c r="Q166" i="32"/>
  <c r="V314" i="33"/>
  <c r="W166" i="32"/>
  <c r="X314" i="33" s="1"/>
  <c r="V315" i="33"/>
  <c r="W167" i="32"/>
  <c r="X315" i="33" s="1"/>
  <c r="Q316" i="33"/>
  <c r="Q168" i="32"/>
  <c r="Q317" i="33"/>
  <c r="Q169" i="32"/>
  <c r="V317" i="33"/>
  <c r="W169" i="32"/>
  <c r="X317" i="33" s="1"/>
  <c r="V318" i="33"/>
  <c r="W170" i="32"/>
  <c r="X318" i="33" s="1"/>
  <c r="V319" i="33"/>
  <c r="W171" i="32"/>
  <c r="X319" i="33" s="1"/>
  <c r="L20" i="33"/>
  <c r="K20" i="33"/>
  <c r="L24" i="33"/>
  <c r="K24" i="33"/>
  <c r="K25" i="33"/>
  <c r="L25" i="33"/>
  <c r="L26" i="33"/>
  <c r="K26" i="33"/>
  <c r="L29" i="33"/>
  <c r="K29" i="33"/>
  <c r="L31" i="33"/>
  <c r="K31" i="33"/>
  <c r="L32" i="33"/>
  <c r="K32" i="33"/>
  <c r="L34" i="33"/>
  <c r="K34" i="33"/>
  <c r="L37" i="33"/>
  <c r="K37" i="33"/>
  <c r="L38" i="33"/>
  <c r="K38" i="33"/>
  <c r="L40" i="33"/>
  <c r="K40" i="33"/>
  <c r="L42" i="33"/>
  <c r="K42" i="33"/>
  <c r="L43" i="33"/>
  <c r="K43" i="33"/>
  <c r="L44" i="33"/>
  <c r="K44" i="33"/>
  <c r="L106" i="33"/>
  <c r="K106" i="33"/>
  <c r="L108" i="33"/>
  <c r="K108" i="33"/>
  <c r="L45" i="33"/>
  <c r="K45" i="33"/>
  <c r="L46" i="33"/>
  <c r="K46" i="33"/>
  <c r="L47" i="33"/>
  <c r="K47" i="33"/>
  <c r="L48" i="33"/>
  <c r="K48" i="33"/>
  <c r="K49" i="33"/>
  <c r="L49" i="33"/>
  <c r="L50" i="33"/>
  <c r="K50" i="33"/>
  <c r="L51" i="33"/>
  <c r="K51" i="33"/>
  <c r="L52" i="33"/>
  <c r="K52" i="33"/>
  <c r="K53" i="33"/>
  <c r="L53" i="33"/>
  <c r="L54" i="33"/>
  <c r="K54" i="33"/>
  <c r="L55" i="33"/>
  <c r="K55" i="33"/>
  <c r="L56" i="33"/>
  <c r="K56" i="33"/>
  <c r="K57" i="33"/>
  <c r="L57" i="33"/>
  <c r="L58" i="33"/>
  <c r="K58" i="33"/>
  <c r="L59" i="33"/>
  <c r="K59" i="33"/>
  <c r="L60" i="33"/>
  <c r="K60" i="33"/>
  <c r="L61" i="33"/>
  <c r="K61" i="33"/>
  <c r="L62" i="33"/>
  <c r="K62" i="33"/>
  <c r="L63" i="33"/>
  <c r="K63" i="33"/>
  <c r="L64" i="33"/>
  <c r="K64" i="33"/>
  <c r="K65" i="33"/>
  <c r="L65" i="33"/>
  <c r="L66" i="33"/>
  <c r="K66" i="33"/>
  <c r="L67" i="33"/>
  <c r="K67" i="33"/>
  <c r="L68" i="33"/>
  <c r="K68" i="33"/>
  <c r="L69" i="33"/>
  <c r="K69" i="33"/>
  <c r="L70" i="33"/>
  <c r="K70" i="33"/>
  <c r="L71" i="33"/>
  <c r="K71" i="33"/>
  <c r="L72" i="33"/>
  <c r="K72" i="33"/>
  <c r="K73" i="33"/>
  <c r="L73" i="33"/>
  <c r="L74" i="33"/>
  <c r="K74" i="33"/>
  <c r="L75" i="33"/>
  <c r="K75" i="33"/>
  <c r="L76" i="33"/>
  <c r="K76" i="33"/>
  <c r="L77" i="33"/>
  <c r="K77" i="33"/>
  <c r="L78" i="33"/>
  <c r="K78" i="33"/>
  <c r="L79" i="33"/>
  <c r="K79" i="33"/>
  <c r="L80" i="33"/>
  <c r="K80" i="33"/>
  <c r="K81" i="33"/>
  <c r="L81" i="33"/>
  <c r="L82" i="33"/>
  <c r="K82" i="33"/>
  <c r="L83" i="33"/>
  <c r="K83" i="33"/>
  <c r="L84" i="33"/>
  <c r="K84" i="33"/>
  <c r="L85" i="33"/>
  <c r="K85" i="33"/>
  <c r="L86" i="33"/>
  <c r="K86" i="33"/>
  <c r="L87" i="33"/>
  <c r="K87" i="33"/>
  <c r="L88" i="33"/>
  <c r="K88" i="33"/>
  <c r="K89" i="33"/>
  <c r="L89" i="33"/>
  <c r="L90" i="33"/>
  <c r="K90" i="33"/>
  <c r="L91" i="33"/>
  <c r="K91" i="33"/>
  <c r="L92" i="33"/>
  <c r="K92" i="33"/>
  <c r="L93" i="33"/>
  <c r="K93" i="33"/>
  <c r="L94" i="33"/>
  <c r="K94" i="33"/>
  <c r="L95" i="33"/>
  <c r="K95" i="33"/>
  <c r="L96" i="33"/>
  <c r="K96" i="33"/>
  <c r="K97" i="33"/>
  <c r="L97" i="33"/>
  <c r="L98" i="33"/>
  <c r="K98" i="33"/>
  <c r="L99" i="33"/>
  <c r="K99" i="33"/>
  <c r="L100" i="33"/>
  <c r="K100" i="33"/>
  <c r="L101" i="33"/>
  <c r="K101" i="33"/>
  <c r="L102" i="33"/>
  <c r="K102" i="33"/>
  <c r="L103" i="33"/>
  <c r="K103" i="33"/>
  <c r="L104" i="33"/>
  <c r="K104" i="33"/>
  <c r="K105" i="33"/>
  <c r="L105" i="33"/>
  <c r="L125" i="33"/>
  <c r="K125" i="33"/>
  <c r="L126" i="33"/>
  <c r="K126" i="33"/>
  <c r="L127" i="33"/>
  <c r="K127" i="33"/>
  <c r="L128" i="33"/>
  <c r="K128" i="33"/>
  <c r="L133" i="33"/>
  <c r="K133" i="33"/>
  <c r="L134" i="33"/>
  <c r="K134" i="33"/>
  <c r="L135" i="33"/>
  <c r="K135" i="33"/>
  <c r="L136" i="33"/>
  <c r="K136" i="33"/>
  <c r="L141" i="33"/>
  <c r="K141" i="33"/>
  <c r="L142" i="33"/>
  <c r="K142" i="33"/>
  <c r="L143" i="33"/>
  <c r="K143" i="33"/>
  <c r="L144" i="33"/>
  <c r="K144" i="33"/>
  <c r="Q174" i="33"/>
  <c r="Q26" i="32"/>
  <c r="Y27" i="32"/>
  <c r="Z175" i="33" s="1"/>
  <c r="V175" i="33"/>
  <c r="W27" i="32"/>
  <c r="X175" i="33" s="1"/>
  <c r="Q177" i="33"/>
  <c r="Q29" i="32"/>
  <c r="W178" i="33"/>
  <c r="V178" i="33"/>
  <c r="W30" i="32"/>
  <c r="X178" i="33" s="1"/>
  <c r="Q180" i="33"/>
  <c r="Q32" i="32"/>
  <c r="Q181" i="33"/>
  <c r="Q33" i="32"/>
  <c r="V182" i="33"/>
  <c r="W34" i="32"/>
  <c r="X182" i="33" s="1"/>
  <c r="Q184" i="33"/>
  <c r="Q36" i="32"/>
  <c r="Q185" i="33"/>
  <c r="Q37" i="32"/>
  <c r="V186" i="33"/>
  <c r="W38" i="32"/>
  <c r="X186" i="33" s="1"/>
  <c r="Q188" i="33"/>
  <c r="Q40" i="32"/>
  <c r="Q189" i="33"/>
  <c r="Q41" i="32"/>
  <c r="Q190" i="33"/>
  <c r="Q42" i="32"/>
  <c r="V191" i="33"/>
  <c r="W43" i="32"/>
  <c r="X191" i="33" s="1"/>
  <c r="Q193" i="33"/>
  <c r="Q45" i="32"/>
  <c r="V194" i="33"/>
  <c r="W46" i="32"/>
  <c r="X194" i="33" s="1"/>
  <c r="Q196" i="33"/>
  <c r="Q48" i="32"/>
  <c r="V197" i="33"/>
  <c r="W49" i="32"/>
  <c r="X197" i="33" s="1"/>
  <c r="V199" i="33"/>
  <c r="W51" i="32"/>
  <c r="X199" i="33" s="1"/>
  <c r="V201" i="33"/>
  <c r="W53" i="32"/>
  <c r="X201" i="33" s="1"/>
  <c r="Q203" i="33"/>
  <c r="Q55" i="32"/>
  <c r="V204" i="33"/>
  <c r="W56" i="32"/>
  <c r="X204" i="33" s="1"/>
  <c r="Q206" i="33"/>
  <c r="Q58" i="32"/>
  <c r="V207" i="33"/>
  <c r="W59" i="32"/>
  <c r="X207" i="33" s="1"/>
  <c r="Q209" i="33"/>
  <c r="Q61" i="32"/>
  <c r="Q210" i="33"/>
  <c r="Q62" i="32"/>
  <c r="V211" i="33"/>
  <c r="W63" i="32"/>
  <c r="X211" i="33" s="1"/>
  <c r="Q213" i="33"/>
  <c r="Q65" i="32"/>
  <c r="V214" i="33"/>
  <c r="W66" i="32"/>
  <c r="X214" i="33" s="1"/>
  <c r="Q216" i="33"/>
  <c r="Q68" i="32"/>
  <c r="Q217" i="33"/>
  <c r="Q69" i="32"/>
  <c r="Q218" i="33"/>
  <c r="Q70" i="32"/>
  <c r="Q219" i="33"/>
  <c r="Q71" i="32"/>
  <c r="Q220" i="33"/>
  <c r="Q72" i="32"/>
  <c r="Q221" i="33"/>
  <c r="Q73" i="32"/>
  <c r="V222" i="33"/>
  <c r="W74" i="32"/>
  <c r="X222" i="33" s="1"/>
  <c r="Q224" i="33"/>
  <c r="Q76" i="32"/>
  <c r="V225" i="33"/>
  <c r="W77" i="32"/>
  <c r="X225" i="33" s="1"/>
  <c r="Q227" i="33"/>
  <c r="Q79" i="32"/>
  <c r="V229" i="33"/>
  <c r="W81" i="32"/>
  <c r="X229" i="33" s="1"/>
  <c r="V237" i="33"/>
  <c r="W89" i="32"/>
  <c r="X237" i="33" s="1"/>
  <c r="Q278" i="33"/>
  <c r="Q130" i="32"/>
  <c r="Q279" i="33"/>
  <c r="Q131" i="32"/>
  <c r="Q280" i="33"/>
  <c r="Q132" i="32"/>
  <c r="V281" i="33"/>
  <c r="W133" i="32"/>
  <c r="X281" i="33" s="1"/>
  <c r="V282" i="33"/>
  <c r="W134" i="32"/>
  <c r="X282" i="33" s="1"/>
  <c r="Q283" i="33"/>
  <c r="Q135" i="32"/>
  <c r="Q284" i="33"/>
  <c r="Q136" i="32"/>
  <c r="V285" i="33"/>
  <c r="W137" i="32"/>
  <c r="X285" i="33" s="1"/>
  <c r="Q286" i="33"/>
  <c r="Q138" i="32"/>
  <c r="Q287" i="33"/>
  <c r="Q139" i="32"/>
  <c r="Q288" i="33"/>
  <c r="Q140" i="32"/>
  <c r="Q289" i="33"/>
  <c r="Q141" i="32"/>
  <c r="Q290" i="33"/>
  <c r="Q142" i="32"/>
  <c r="Q291" i="33"/>
  <c r="Q143" i="32"/>
  <c r="V292" i="33"/>
  <c r="W144" i="32"/>
  <c r="X292" i="33" s="1"/>
  <c r="Q293" i="33"/>
  <c r="Q145" i="32"/>
  <c r="Q294" i="33"/>
  <c r="Q146" i="32"/>
  <c r="Q295" i="33"/>
  <c r="Q147" i="32"/>
  <c r="Q296" i="33"/>
  <c r="Q148" i="32"/>
  <c r="V297" i="33"/>
  <c r="W149" i="32"/>
  <c r="X297" i="33" s="1"/>
  <c r="Q298" i="33"/>
  <c r="Q150" i="32"/>
  <c r="Q299" i="33"/>
  <c r="Q151" i="32"/>
  <c r="Q300" i="33"/>
  <c r="Q152" i="32"/>
  <c r="V301" i="33"/>
  <c r="W153" i="32"/>
  <c r="X301" i="33" s="1"/>
  <c r="V302" i="33"/>
  <c r="W154" i="32"/>
  <c r="X302" i="33" s="1"/>
  <c r="Q304" i="33"/>
  <c r="Q156" i="32"/>
  <c r="V305" i="33"/>
  <c r="W157" i="32"/>
  <c r="X305" i="33" s="1"/>
  <c r="V307" i="33"/>
  <c r="W159" i="32"/>
  <c r="X307" i="33" s="1"/>
  <c r="Q309" i="33"/>
  <c r="Q161" i="32"/>
  <c r="V310" i="33"/>
  <c r="W162" i="32"/>
  <c r="X310" i="33" s="1"/>
  <c r="Q312" i="33"/>
  <c r="Q164" i="32"/>
  <c r="V313" i="33"/>
  <c r="W165" i="32"/>
  <c r="X313" i="33" s="1"/>
  <c r="Q315" i="33"/>
  <c r="Q167" i="32"/>
  <c r="V316" i="33"/>
  <c r="W168" i="32"/>
  <c r="X316" i="33" s="1"/>
  <c r="Q318" i="33"/>
  <c r="Q170" i="32"/>
  <c r="Q319" i="33"/>
  <c r="Q171" i="32"/>
  <c r="L23" i="33"/>
  <c r="K23" i="33"/>
  <c r="L27" i="33"/>
  <c r="K27" i="33"/>
  <c r="L30" i="33"/>
  <c r="K30" i="33"/>
  <c r="K33" i="33"/>
  <c r="L33" i="33"/>
  <c r="L36" i="33"/>
  <c r="K36" i="33"/>
  <c r="L39" i="33"/>
  <c r="K39" i="33"/>
  <c r="K41" i="33"/>
  <c r="L41" i="33"/>
  <c r="L107" i="33"/>
  <c r="K107" i="33"/>
  <c r="L109" i="33"/>
  <c r="K109" i="33"/>
  <c r="L110" i="33"/>
  <c r="K110" i="33"/>
  <c r="L111" i="33"/>
  <c r="K111" i="33"/>
  <c r="L112" i="33"/>
  <c r="K112" i="33"/>
  <c r="K113" i="33"/>
  <c r="L113" i="33"/>
  <c r="L114" i="33"/>
  <c r="K114" i="33"/>
  <c r="L115" i="33"/>
  <c r="K115" i="33"/>
  <c r="L116" i="33"/>
  <c r="K116" i="33"/>
  <c r="L117" i="33"/>
  <c r="K117" i="33"/>
  <c r="L118" i="33"/>
  <c r="K118" i="33"/>
  <c r="L119" i="33"/>
  <c r="K119" i="33"/>
  <c r="L120" i="33"/>
  <c r="K120" i="33"/>
  <c r="K121" i="33"/>
  <c r="L121" i="33"/>
  <c r="L122" i="33"/>
  <c r="K122" i="33"/>
  <c r="L123" i="33"/>
  <c r="K123" i="33"/>
  <c r="L124" i="33"/>
  <c r="K124" i="33"/>
  <c r="K129" i="33"/>
  <c r="L129" i="33"/>
  <c r="L130" i="33"/>
  <c r="K130" i="33"/>
  <c r="L131" i="33"/>
  <c r="K131" i="33"/>
  <c r="L132" i="33"/>
  <c r="K132" i="33"/>
  <c r="K137" i="33"/>
  <c r="L137" i="33"/>
  <c r="L138" i="33"/>
  <c r="K138" i="33"/>
  <c r="L139" i="33"/>
  <c r="K139" i="33"/>
  <c r="L140" i="33"/>
  <c r="K140" i="33"/>
  <c r="K145" i="33"/>
  <c r="L145" i="33"/>
  <c r="L146" i="33"/>
  <c r="K146" i="33"/>
  <c r="L147" i="33"/>
  <c r="K147" i="33"/>
  <c r="L148" i="33"/>
  <c r="K148" i="33"/>
  <c r="L149" i="33"/>
  <c r="K149" i="33"/>
  <c r="L150" i="33"/>
  <c r="K150" i="33"/>
  <c r="L151" i="33"/>
  <c r="K151" i="33"/>
  <c r="L152" i="33"/>
  <c r="K152" i="33"/>
  <c r="K153" i="33"/>
  <c r="L153" i="33"/>
  <c r="L154" i="33"/>
  <c r="K154" i="33"/>
  <c r="L155" i="33"/>
  <c r="K155" i="33"/>
  <c r="L156" i="33"/>
  <c r="K156" i="33"/>
  <c r="L157" i="33"/>
  <c r="K157" i="33"/>
  <c r="L158" i="33"/>
  <c r="K158" i="33"/>
  <c r="L159" i="33"/>
  <c r="K159" i="33"/>
  <c r="L160" i="33"/>
  <c r="K160" i="33"/>
  <c r="K161" i="33"/>
  <c r="L161" i="33"/>
  <c r="L162" i="33"/>
  <c r="K162" i="33"/>
  <c r="L163" i="33"/>
  <c r="K163" i="33"/>
  <c r="L164" i="33"/>
  <c r="K164" i="33"/>
  <c r="L165" i="33"/>
  <c r="K165" i="33"/>
  <c r="L166" i="33"/>
  <c r="K166" i="33"/>
  <c r="L167" i="33"/>
  <c r="K167" i="33"/>
  <c r="W171" i="33"/>
  <c r="V171" i="33"/>
  <c r="W23" i="32"/>
  <c r="X171" i="33" s="1"/>
  <c r="Q24" i="32"/>
  <c r="R172" i="33" s="1"/>
  <c r="Q172" i="33"/>
  <c r="Q22" i="32"/>
  <c r="Q170" i="33"/>
  <c r="K168" i="33"/>
  <c r="L168" i="33"/>
  <c r="W24" i="32"/>
  <c r="X172" i="33" s="1"/>
  <c r="J7" i="34"/>
  <c r="D24" i="25" s="1"/>
  <c r="Q173" i="32"/>
  <c r="W266" i="32"/>
  <c r="X266" i="32" s="1"/>
  <c r="W307" i="32"/>
  <c r="X307" i="32" s="1"/>
  <c r="Q196" i="32"/>
  <c r="Q198" i="32"/>
  <c r="Q200" i="32"/>
  <c r="Q202" i="32"/>
  <c r="Q204" i="32"/>
  <c r="Q206" i="32"/>
  <c r="Q208" i="32"/>
  <c r="Q210" i="32"/>
  <c r="Q212" i="32"/>
  <c r="Q214" i="32"/>
  <c r="Q216" i="32"/>
  <c r="Q218" i="32"/>
  <c r="Q220" i="32"/>
  <c r="Q222" i="32"/>
  <c r="Q224" i="32"/>
  <c r="Q226" i="32"/>
  <c r="Q228" i="32"/>
  <c r="Q230" i="32"/>
  <c r="Q232" i="32"/>
  <c r="Q234" i="32"/>
  <c r="Q236" i="32"/>
  <c r="Q238" i="32"/>
  <c r="Q240" i="32"/>
  <c r="Q242" i="32"/>
  <c r="Q244" i="32"/>
  <c r="Q246" i="32"/>
  <c r="Q248" i="32"/>
  <c r="Q250" i="32"/>
  <c r="Q252" i="32"/>
  <c r="Q254" i="32"/>
  <c r="W319" i="32"/>
  <c r="X319" i="32" s="1"/>
  <c r="X137" i="33"/>
  <c r="Y137" i="33" s="1"/>
  <c r="Q182" i="32"/>
  <c r="V182" i="32"/>
  <c r="W183" i="32"/>
  <c r="X183" i="32" s="1"/>
  <c r="Q184" i="32"/>
  <c r="V184" i="32"/>
  <c r="Y184" i="32" s="1"/>
  <c r="W185" i="32"/>
  <c r="X185" i="32" s="1"/>
  <c r="Q187" i="32"/>
  <c r="Q189" i="32"/>
  <c r="Q191" i="32"/>
  <c r="Q193" i="32"/>
  <c r="W258" i="32"/>
  <c r="X258" i="32" s="1"/>
  <c r="W315" i="32"/>
  <c r="X315" i="32" s="1"/>
  <c r="Z81" i="33"/>
  <c r="W262" i="32"/>
  <c r="X262" i="32" s="1"/>
  <c r="W270" i="32"/>
  <c r="X270" i="32" s="1"/>
  <c r="W303" i="32"/>
  <c r="X303" i="32" s="1"/>
  <c r="W311" i="32"/>
  <c r="X311" i="32" s="1"/>
  <c r="X153" i="33"/>
  <c r="Y153" i="33" s="1"/>
  <c r="Q174" i="32"/>
  <c r="V174" i="32"/>
  <c r="Y174" i="32" s="1"/>
  <c r="W175" i="32"/>
  <c r="X175" i="32" s="1"/>
  <c r="Q176" i="32"/>
  <c r="V176" i="32"/>
  <c r="W177" i="32"/>
  <c r="X177" i="32" s="1"/>
  <c r="Q178" i="32"/>
  <c r="V178" i="32"/>
  <c r="Y178" i="32" s="1"/>
  <c r="W179" i="32"/>
  <c r="X179" i="32" s="1"/>
  <c r="Q181" i="32"/>
  <c r="Q194" i="32"/>
  <c r="V194" i="32"/>
  <c r="Y194" i="32" s="1"/>
  <c r="V195" i="32"/>
  <c r="Y195" i="32" s="1"/>
  <c r="Q197" i="32"/>
  <c r="V197" i="32"/>
  <c r="Y197" i="32" s="1"/>
  <c r="Q199" i="32"/>
  <c r="V199" i="32"/>
  <c r="Y199" i="32" s="1"/>
  <c r="Q201" i="32"/>
  <c r="V201" i="32"/>
  <c r="Y201" i="32" s="1"/>
  <c r="Q203" i="32"/>
  <c r="V203" i="32"/>
  <c r="Y203" i="32" s="1"/>
  <c r="Q205" i="32"/>
  <c r="V205" i="32"/>
  <c r="Y205" i="32" s="1"/>
  <c r="Q207" i="32"/>
  <c r="V207" i="32"/>
  <c r="Y207" i="32" s="1"/>
  <c r="Q209" i="32"/>
  <c r="V209" i="32"/>
  <c r="Y209" i="32" s="1"/>
  <c r="Q211" i="32"/>
  <c r="V211" i="32"/>
  <c r="Y211" i="32" s="1"/>
  <c r="Q213" i="32"/>
  <c r="V213" i="32"/>
  <c r="Y213" i="32" s="1"/>
  <c r="Q215" i="32"/>
  <c r="V215" i="32"/>
  <c r="Y215" i="32" s="1"/>
  <c r="Q217" i="32"/>
  <c r="V217" i="32"/>
  <c r="Y217" i="32" s="1"/>
  <c r="Q219" i="32"/>
  <c r="V219" i="32"/>
  <c r="Y219" i="32" s="1"/>
  <c r="Q221" i="32"/>
  <c r="V221" i="32"/>
  <c r="Y221" i="32" s="1"/>
  <c r="Q223" i="32"/>
  <c r="V223" i="32"/>
  <c r="Y223" i="32" s="1"/>
  <c r="Q225" i="32"/>
  <c r="V225" i="32"/>
  <c r="Y225" i="32" s="1"/>
  <c r="Q227" i="32"/>
  <c r="V227" i="32"/>
  <c r="Y227" i="32" s="1"/>
  <c r="Q229" i="32"/>
  <c r="V229" i="32"/>
  <c r="Y229" i="32" s="1"/>
  <c r="Q231" i="32"/>
  <c r="V231" i="32"/>
  <c r="Y231" i="32" s="1"/>
  <c r="Q233" i="32"/>
  <c r="V233" i="32"/>
  <c r="Y233" i="32" s="1"/>
  <c r="Q235" i="32"/>
  <c r="V235" i="32"/>
  <c r="Y235" i="32" s="1"/>
  <c r="Q237" i="32"/>
  <c r="V237" i="32"/>
  <c r="Y237" i="32" s="1"/>
  <c r="Q239" i="32"/>
  <c r="V239" i="32"/>
  <c r="Y239" i="32" s="1"/>
  <c r="Q241" i="32"/>
  <c r="V241" i="32"/>
  <c r="Y241" i="32" s="1"/>
  <c r="Q243" i="32"/>
  <c r="V243" i="32"/>
  <c r="Y243" i="32" s="1"/>
  <c r="Q245" i="32"/>
  <c r="V245" i="32"/>
  <c r="Y245" i="32" s="1"/>
  <c r="Q247" i="32"/>
  <c r="V247" i="32"/>
  <c r="Y247" i="32" s="1"/>
  <c r="Q249" i="32"/>
  <c r="V249" i="32"/>
  <c r="Y249" i="32" s="1"/>
  <c r="Q251" i="32"/>
  <c r="V251" i="32"/>
  <c r="Y251" i="32" s="1"/>
  <c r="Q253" i="32"/>
  <c r="V253" i="32"/>
  <c r="Y253" i="32" s="1"/>
  <c r="W256" i="32"/>
  <c r="X256" i="32" s="1"/>
  <c r="W260" i="32"/>
  <c r="X260" i="32" s="1"/>
  <c r="W264" i="32"/>
  <c r="X264" i="32" s="1"/>
  <c r="W268" i="32"/>
  <c r="X268" i="32" s="1"/>
  <c r="Q273" i="32"/>
  <c r="V273" i="32"/>
  <c r="Y273" i="32" s="1"/>
  <c r="Q275" i="32"/>
  <c r="V275" i="32"/>
  <c r="Q277" i="32"/>
  <c r="V277" i="32"/>
  <c r="Y277" i="32" s="1"/>
  <c r="Q279" i="32"/>
  <c r="V279" i="32"/>
  <c r="Q281" i="32"/>
  <c r="V281" i="32"/>
  <c r="Y281" i="32" s="1"/>
  <c r="Q283" i="32"/>
  <c r="V283" i="32"/>
  <c r="Q285" i="32"/>
  <c r="V285" i="32"/>
  <c r="Y285" i="32" s="1"/>
  <c r="Q287" i="32"/>
  <c r="V287" i="32"/>
  <c r="Q289" i="32"/>
  <c r="V289" i="32"/>
  <c r="Y289" i="32" s="1"/>
  <c r="Q291" i="32"/>
  <c r="V291" i="32"/>
  <c r="Q293" i="32"/>
  <c r="V293" i="32"/>
  <c r="Y293" i="32" s="1"/>
  <c r="Q295" i="32"/>
  <c r="V295" i="32"/>
  <c r="Q297" i="32"/>
  <c r="V297" i="32"/>
  <c r="Y297" i="32" s="1"/>
  <c r="Q299" i="32"/>
  <c r="V299" i="32"/>
  <c r="Q301" i="32"/>
  <c r="V301" i="32"/>
  <c r="Y301" i="32" s="1"/>
  <c r="W305" i="32"/>
  <c r="X305" i="32" s="1"/>
  <c r="W309" i="32"/>
  <c r="X309" i="32" s="1"/>
  <c r="W313" i="32"/>
  <c r="X313" i="32" s="1"/>
  <c r="W317" i="32"/>
  <c r="X317" i="32" s="1"/>
  <c r="W321" i="32"/>
  <c r="X321" i="32" s="1"/>
  <c r="X129" i="33"/>
  <c r="Y129" i="33" s="1"/>
  <c r="X145" i="33"/>
  <c r="Y145" i="33" s="1"/>
  <c r="X161" i="33"/>
  <c r="Y161" i="33" s="1"/>
  <c r="W319" i="33"/>
  <c r="W173" i="32"/>
  <c r="X173" i="32" s="1"/>
  <c r="Q175" i="32"/>
  <c r="Q177" i="32"/>
  <c r="Q179" i="32"/>
  <c r="Q180" i="32"/>
  <c r="V180" i="32"/>
  <c r="W181" i="32"/>
  <c r="X181" i="32" s="1"/>
  <c r="Q183" i="32"/>
  <c r="Q185" i="32"/>
  <c r="Q186" i="32"/>
  <c r="V186" i="32"/>
  <c r="Y186" i="32" s="1"/>
  <c r="W187" i="32"/>
  <c r="X187" i="32" s="1"/>
  <c r="Q188" i="32"/>
  <c r="V188" i="32"/>
  <c r="W189" i="32"/>
  <c r="X189" i="32" s="1"/>
  <c r="Q190" i="32"/>
  <c r="V190" i="32"/>
  <c r="Y190" i="32" s="1"/>
  <c r="W191" i="32"/>
  <c r="X191" i="32" s="1"/>
  <c r="Q192" i="32"/>
  <c r="V192" i="32"/>
  <c r="W193" i="32"/>
  <c r="X193" i="32" s="1"/>
  <c r="Q195" i="32"/>
  <c r="W196" i="32"/>
  <c r="X196" i="32" s="1"/>
  <c r="W198" i="32"/>
  <c r="X198" i="32" s="1"/>
  <c r="W200" i="32"/>
  <c r="X200" i="32" s="1"/>
  <c r="W202" i="32"/>
  <c r="X202" i="32" s="1"/>
  <c r="W204" i="32"/>
  <c r="X204" i="32" s="1"/>
  <c r="W206" i="32"/>
  <c r="X206" i="32" s="1"/>
  <c r="W208" i="32"/>
  <c r="X208" i="32" s="1"/>
  <c r="W210" i="32"/>
  <c r="X210" i="32" s="1"/>
  <c r="W212" i="32"/>
  <c r="X212" i="32" s="1"/>
  <c r="W214" i="32"/>
  <c r="X214" i="32" s="1"/>
  <c r="W216" i="32"/>
  <c r="X216" i="32" s="1"/>
  <c r="W218" i="32"/>
  <c r="X218" i="32" s="1"/>
  <c r="W220" i="32"/>
  <c r="X220" i="32" s="1"/>
  <c r="W222" i="32"/>
  <c r="X222" i="32" s="1"/>
  <c r="W224" i="32"/>
  <c r="X224" i="32" s="1"/>
  <c r="W226" i="32"/>
  <c r="X226" i="32" s="1"/>
  <c r="W228" i="32"/>
  <c r="X228" i="32" s="1"/>
  <c r="W230" i="32"/>
  <c r="X230" i="32" s="1"/>
  <c r="W232" i="32"/>
  <c r="X232" i="32" s="1"/>
  <c r="W234" i="32"/>
  <c r="X234" i="32" s="1"/>
  <c r="W236" i="32"/>
  <c r="X236" i="32" s="1"/>
  <c r="W238" i="32"/>
  <c r="X238" i="32" s="1"/>
  <c r="W240" i="32"/>
  <c r="X240" i="32" s="1"/>
  <c r="W242" i="32"/>
  <c r="X242" i="32" s="1"/>
  <c r="W244" i="32"/>
  <c r="X244" i="32" s="1"/>
  <c r="W246" i="32"/>
  <c r="X246" i="32" s="1"/>
  <c r="W248" i="32"/>
  <c r="X248" i="32" s="1"/>
  <c r="W250" i="32"/>
  <c r="X250" i="32" s="1"/>
  <c r="W252" i="32"/>
  <c r="X252" i="32" s="1"/>
  <c r="W254" i="32"/>
  <c r="X254" i="32" s="1"/>
  <c r="X43" i="33"/>
  <c r="Z43" i="33"/>
  <c r="X51" i="33"/>
  <c r="Z51" i="33"/>
  <c r="X59" i="33"/>
  <c r="Z59" i="33"/>
  <c r="X67" i="33"/>
  <c r="Z67" i="33"/>
  <c r="X75" i="33"/>
  <c r="Z75" i="33"/>
  <c r="X83" i="33"/>
  <c r="Z83" i="33"/>
  <c r="X91" i="33"/>
  <c r="Z91" i="33"/>
  <c r="X99" i="33"/>
  <c r="Z99" i="33"/>
  <c r="X107" i="33"/>
  <c r="Z107" i="33"/>
  <c r="X115" i="33"/>
  <c r="Z115" i="33"/>
  <c r="X122" i="33"/>
  <c r="Z122" i="33"/>
  <c r="X128" i="33"/>
  <c r="Z128" i="33"/>
  <c r="Z133" i="33"/>
  <c r="X133" i="33"/>
  <c r="X138" i="33"/>
  <c r="Z138" i="33"/>
  <c r="X144" i="33"/>
  <c r="Z144" i="33"/>
  <c r="X149" i="33"/>
  <c r="X154" i="33"/>
  <c r="Z154" i="33"/>
  <c r="X160" i="33"/>
  <c r="Z160" i="33"/>
  <c r="Q255" i="32"/>
  <c r="V255" i="32"/>
  <c r="Y255" i="32" s="1"/>
  <c r="Q256" i="32"/>
  <c r="Q257" i="32"/>
  <c r="V257" i="32"/>
  <c r="X257" i="32" s="1"/>
  <c r="Q258" i="32"/>
  <c r="Q259" i="32"/>
  <c r="V259" i="32"/>
  <c r="X259" i="32" s="1"/>
  <c r="Q260" i="32"/>
  <c r="Q261" i="32"/>
  <c r="V261" i="32"/>
  <c r="X261" i="32" s="1"/>
  <c r="Q262" i="32"/>
  <c r="Q263" i="32"/>
  <c r="V263" i="32"/>
  <c r="X263" i="32" s="1"/>
  <c r="Q264" i="32"/>
  <c r="Q265" i="32"/>
  <c r="V265" i="32"/>
  <c r="X265" i="32" s="1"/>
  <c r="Q266" i="32"/>
  <c r="Q267" i="32"/>
  <c r="V267" i="32"/>
  <c r="Y267" i="32" s="1"/>
  <c r="Q268" i="32"/>
  <c r="Q269" i="32"/>
  <c r="V269" i="32"/>
  <c r="X269" i="32" s="1"/>
  <c r="Q270" i="32"/>
  <c r="Q271" i="32"/>
  <c r="V271" i="32"/>
  <c r="Y271" i="32" s="1"/>
  <c r="Q272" i="32"/>
  <c r="Q274" i="32"/>
  <c r="Q276" i="32"/>
  <c r="Q278" i="32"/>
  <c r="Q280" i="32"/>
  <c r="Q282" i="32"/>
  <c r="Q284" i="32"/>
  <c r="Q286" i="32"/>
  <c r="Q288" i="32"/>
  <c r="Q290" i="32"/>
  <c r="Q292" i="32"/>
  <c r="Q294" i="32"/>
  <c r="Q296" i="32"/>
  <c r="Q298" i="32"/>
  <c r="Q300" i="32"/>
  <c r="Q302" i="32"/>
  <c r="V302" i="32"/>
  <c r="X302" i="32" s="1"/>
  <c r="Q303" i="32"/>
  <c r="Q304" i="32"/>
  <c r="V304" i="32"/>
  <c r="Y304" i="32" s="1"/>
  <c r="Q305" i="32"/>
  <c r="Q306" i="32"/>
  <c r="V306" i="32"/>
  <c r="X306" i="32" s="1"/>
  <c r="Q307" i="32"/>
  <c r="Q308" i="32"/>
  <c r="V308" i="32"/>
  <c r="X308" i="32" s="1"/>
  <c r="Q309" i="32"/>
  <c r="Q310" i="32"/>
  <c r="V310" i="32"/>
  <c r="X310" i="32" s="1"/>
  <c r="Q311" i="32"/>
  <c r="Q312" i="32"/>
  <c r="V312" i="32"/>
  <c r="X312" i="32" s="1"/>
  <c r="Q313" i="32"/>
  <c r="Q314" i="32"/>
  <c r="V314" i="32"/>
  <c r="Q315" i="32"/>
  <c r="Q316" i="32"/>
  <c r="V316" i="32"/>
  <c r="Y316" i="32" s="1"/>
  <c r="Q317" i="32"/>
  <c r="Q318" i="32"/>
  <c r="V318" i="32"/>
  <c r="X318" i="32" s="1"/>
  <c r="Q319" i="32"/>
  <c r="Q320" i="32"/>
  <c r="V320" i="32"/>
  <c r="Y320" i="32" s="1"/>
  <c r="Q321" i="32"/>
  <c r="Q322" i="32"/>
  <c r="V322" i="32"/>
  <c r="X322" i="32" s="1"/>
  <c r="X47" i="33"/>
  <c r="Z47" i="33"/>
  <c r="X55" i="33"/>
  <c r="Z55" i="33"/>
  <c r="X63" i="33"/>
  <c r="Z63" i="33"/>
  <c r="X71" i="33"/>
  <c r="Z71" i="33"/>
  <c r="X79" i="33"/>
  <c r="Z79" i="33"/>
  <c r="X87" i="33"/>
  <c r="Z87" i="33"/>
  <c r="X95" i="33"/>
  <c r="Z95" i="33"/>
  <c r="X103" i="33"/>
  <c r="Z103" i="33"/>
  <c r="X111" i="33"/>
  <c r="Z111" i="33"/>
  <c r="X119" i="33"/>
  <c r="Z119" i="33"/>
  <c r="Z125" i="33"/>
  <c r="X125" i="33"/>
  <c r="X130" i="33"/>
  <c r="Z130" i="33"/>
  <c r="X136" i="33"/>
  <c r="Z136" i="33"/>
  <c r="Z141" i="33"/>
  <c r="X141" i="33"/>
  <c r="X146" i="33"/>
  <c r="Z146" i="33"/>
  <c r="X152" i="33"/>
  <c r="Z152" i="33"/>
  <c r="Z157" i="33"/>
  <c r="X157" i="33"/>
  <c r="X165" i="33"/>
  <c r="Y165" i="33" s="1"/>
  <c r="Q19" i="34"/>
  <c r="Q21" i="34"/>
  <c r="Q23" i="34"/>
  <c r="Q25" i="34"/>
  <c r="Q27" i="34"/>
  <c r="Q29" i="34"/>
  <c r="Q31" i="34"/>
  <c r="Q33" i="34"/>
  <c r="Q35" i="34"/>
  <c r="Q37" i="34"/>
  <c r="Q39" i="34"/>
  <c r="Q41" i="34"/>
  <c r="Q43" i="34"/>
  <c r="Q45" i="34"/>
  <c r="Q47" i="34"/>
  <c r="Q49" i="34"/>
  <c r="Q51" i="34"/>
  <c r="Q53" i="34"/>
  <c r="Q55" i="34"/>
  <c r="Q57" i="34"/>
  <c r="Q59" i="34"/>
  <c r="Q61" i="34"/>
  <c r="Q64" i="34"/>
  <c r="Q66" i="34"/>
  <c r="Q68" i="34"/>
  <c r="Q70" i="34"/>
  <c r="Q72" i="34"/>
  <c r="Q74" i="34"/>
  <c r="Q76" i="34"/>
  <c r="Q78" i="34"/>
  <c r="Q80" i="34"/>
  <c r="Q82" i="34"/>
  <c r="Q84" i="34"/>
  <c r="Q86" i="34"/>
  <c r="Q88" i="34"/>
  <c r="Q90" i="34"/>
  <c r="Q92" i="34"/>
  <c r="Q94" i="34"/>
  <c r="Q96" i="34"/>
  <c r="Q98" i="34"/>
  <c r="Q100" i="34"/>
  <c r="Q102" i="34"/>
  <c r="Q104" i="34"/>
  <c r="Q106" i="34"/>
  <c r="Q108" i="34"/>
  <c r="Q110" i="34"/>
  <c r="Q112" i="34"/>
  <c r="Q114" i="34"/>
  <c r="Q140" i="34"/>
  <c r="Q142" i="34"/>
  <c r="Q144" i="34"/>
  <c r="Q146" i="34"/>
  <c r="Q148" i="34"/>
  <c r="Q150" i="34"/>
  <c r="Q152" i="34"/>
  <c r="Q154" i="34"/>
  <c r="Q156" i="34"/>
  <c r="Q158" i="34"/>
  <c r="Q160" i="34"/>
  <c r="Q162" i="34"/>
  <c r="Q164" i="34"/>
  <c r="Q166" i="34"/>
  <c r="Q20" i="34"/>
  <c r="Q22" i="34"/>
  <c r="Q24" i="34"/>
  <c r="Q26" i="34"/>
  <c r="Q28" i="34"/>
  <c r="Q30" i="34"/>
  <c r="Q32" i="34"/>
  <c r="Q34" i="34"/>
  <c r="Q36" i="34"/>
  <c r="Q38" i="34"/>
  <c r="Q40" i="34"/>
  <c r="Q42" i="34"/>
  <c r="Q44" i="34"/>
  <c r="Q46" i="34"/>
  <c r="Q48" i="34"/>
  <c r="Q50" i="34"/>
  <c r="Q52" i="34"/>
  <c r="Q54" i="34"/>
  <c r="Q56" i="34"/>
  <c r="Q58" i="34"/>
  <c r="Q60" i="34"/>
  <c r="Q62" i="34"/>
  <c r="Q117" i="34"/>
  <c r="Q119" i="34"/>
  <c r="Q121" i="34"/>
  <c r="Q123" i="34"/>
  <c r="Q125" i="34"/>
  <c r="Q127" i="34"/>
  <c r="Q129" i="34"/>
  <c r="Q131" i="34"/>
  <c r="Q133" i="34"/>
  <c r="Q135" i="34"/>
  <c r="Q137" i="34"/>
  <c r="Q139" i="34"/>
  <c r="L184" i="35"/>
  <c r="Q18" i="34"/>
  <c r="Q63" i="34"/>
  <c r="Q65" i="34"/>
  <c r="Q67" i="34"/>
  <c r="Q69" i="34"/>
  <c r="Q71" i="34"/>
  <c r="Q73" i="34"/>
  <c r="Q75" i="34"/>
  <c r="Q77" i="34"/>
  <c r="Q79" i="34"/>
  <c r="Q81" i="34"/>
  <c r="Q83" i="34"/>
  <c r="Q85" i="34"/>
  <c r="Q87" i="34"/>
  <c r="Q89" i="34"/>
  <c r="Q91" i="34"/>
  <c r="Q93" i="34"/>
  <c r="Q95" i="34"/>
  <c r="Q97" i="34"/>
  <c r="Q99" i="34"/>
  <c r="Q101" i="34"/>
  <c r="Q103" i="34"/>
  <c r="Q105" i="34"/>
  <c r="Q107" i="34"/>
  <c r="Q109" i="34"/>
  <c r="Q111" i="34"/>
  <c r="Q113" i="34"/>
  <c r="Q115" i="34"/>
  <c r="Q116" i="34"/>
  <c r="Q118" i="34"/>
  <c r="Q120" i="34"/>
  <c r="Q122" i="34"/>
  <c r="Q124" i="34"/>
  <c r="Q126" i="34"/>
  <c r="Q128" i="34"/>
  <c r="Q130" i="34"/>
  <c r="Q132" i="34"/>
  <c r="Q134" i="34"/>
  <c r="Q136" i="34"/>
  <c r="Q138" i="34"/>
  <c r="Q141" i="34"/>
  <c r="Q143" i="34"/>
  <c r="Q145" i="34"/>
  <c r="Q147" i="34"/>
  <c r="Q149" i="34"/>
  <c r="Q151" i="34"/>
  <c r="Q153" i="34"/>
  <c r="Q155" i="34"/>
  <c r="Q157" i="34"/>
  <c r="Q159" i="34"/>
  <c r="Q161" i="34"/>
  <c r="Q163" i="34"/>
  <c r="Q165" i="34"/>
  <c r="Q167" i="34"/>
  <c r="Z20" i="33"/>
  <c r="Z24" i="33"/>
  <c r="Z26" i="33"/>
  <c r="Z30" i="33"/>
  <c r="Z32" i="33"/>
  <c r="Z34" i="33"/>
  <c r="Z36" i="33"/>
  <c r="Z38" i="33"/>
  <c r="Z40" i="33"/>
  <c r="Z42" i="33"/>
  <c r="Z44" i="33"/>
  <c r="Z46" i="33"/>
  <c r="Z48" i="33"/>
  <c r="Z50" i="33"/>
  <c r="Z52" i="33"/>
  <c r="Z54" i="33"/>
  <c r="Z56" i="33"/>
  <c r="Z58" i="33"/>
  <c r="Z60" i="33"/>
  <c r="Z62" i="33"/>
  <c r="Z64" i="33"/>
  <c r="Z66" i="33"/>
  <c r="Z68" i="33"/>
  <c r="Z70" i="33"/>
  <c r="Z72" i="33"/>
  <c r="Z74" i="33"/>
  <c r="Z76" i="33"/>
  <c r="Z78" i="33"/>
  <c r="Z80" i="33"/>
  <c r="Z82" i="33"/>
  <c r="Z84" i="33"/>
  <c r="Z86" i="33"/>
  <c r="Z88" i="33"/>
  <c r="Z90" i="33"/>
  <c r="Z92" i="33"/>
  <c r="Z94" i="33"/>
  <c r="Z96" i="33"/>
  <c r="Z98" i="33"/>
  <c r="Z100" i="33"/>
  <c r="Z102" i="33"/>
  <c r="Z104" i="33"/>
  <c r="Z106" i="33"/>
  <c r="Z108" i="33"/>
  <c r="Z110" i="33"/>
  <c r="Z112" i="33"/>
  <c r="Z114" i="33"/>
  <c r="Z116" i="33"/>
  <c r="Z118" i="33"/>
  <c r="X20" i="33"/>
  <c r="Y20" i="33" s="1"/>
  <c r="X22" i="33"/>
  <c r="X24" i="33"/>
  <c r="Y24" i="33" s="1"/>
  <c r="X26" i="33"/>
  <c r="Y26" i="33" s="1"/>
  <c r="X28" i="33"/>
  <c r="X30" i="33"/>
  <c r="Y30" i="33" s="1"/>
  <c r="X32" i="33"/>
  <c r="Y32" i="33" s="1"/>
  <c r="X34" i="33"/>
  <c r="Y34" i="33" s="1"/>
  <c r="X36" i="33"/>
  <c r="Y36" i="33" s="1"/>
  <c r="X38" i="33"/>
  <c r="Y38" i="33" s="1"/>
  <c r="X40" i="33"/>
  <c r="Y40" i="33" s="1"/>
  <c r="X42" i="33"/>
  <c r="Y42" i="33" s="1"/>
  <c r="X44" i="33"/>
  <c r="Y44" i="33" s="1"/>
  <c r="X46" i="33"/>
  <c r="Y46" i="33" s="1"/>
  <c r="X48" i="33"/>
  <c r="Y48" i="33" s="1"/>
  <c r="X50" i="33"/>
  <c r="Y50" i="33" s="1"/>
  <c r="X52" i="33"/>
  <c r="Y52" i="33" s="1"/>
  <c r="X54" i="33"/>
  <c r="Y54" i="33" s="1"/>
  <c r="X56" i="33"/>
  <c r="Y56" i="33" s="1"/>
  <c r="X58" i="33"/>
  <c r="Y58" i="33" s="1"/>
  <c r="X60" i="33"/>
  <c r="Y60" i="33" s="1"/>
  <c r="X62" i="33"/>
  <c r="Y62" i="33" s="1"/>
  <c r="X64" i="33"/>
  <c r="Y64" i="33" s="1"/>
  <c r="X66" i="33"/>
  <c r="Y66" i="33" s="1"/>
  <c r="X68" i="33"/>
  <c r="Y68" i="33" s="1"/>
  <c r="X70" i="33"/>
  <c r="Y70" i="33" s="1"/>
  <c r="X72" i="33"/>
  <c r="Y72" i="33" s="1"/>
  <c r="X74" i="33"/>
  <c r="Y74" i="33" s="1"/>
  <c r="X76" i="33"/>
  <c r="Y76" i="33" s="1"/>
  <c r="X78" i="33"/>
  <c r="Y78" i="33" s="1"/>
  <c r="X80" i="33"/>
  <c r="Y80" i="33" s="1"/>
  <c r="X82" i="33"/>
  <c r="Y82" i="33" s="1"/>
  <c r="X84" i="33"/>
  <c r="Y84" i="33" s="1"/>
  <c r="X86" i="33"/>
  <c r="Y86" i="33" s="1"/>
  <c r="X88" i="33"/>
  <c r="Y88" i="33" s="1"/>
  <c r="X90" i="33"/>
  <c r="Y90" i="33" s="1"/>
  <c r="X92" i="33"/>
  <c r="Y92" i="33" s="1"/>
  <c r="X94" i="33"/>
  <c r="Y94" i="33" s="1"/>
  <c r="X96" i="33"/>
  <c r="Y96" i="33" s="1"/>
  <c r="X98" i="33"/>
  <c r="Y98" i="33" s="1"/>
  <c r="X100" i="33"/>
  <c r="Y100" i="33" s="1"/>
  <c r="X102" i="33"/>
  <c r="Y102" i="33" s="1"/>
  <c r="X104" i="33"/>
  <c r="Y104" i="33" s="1"/>
  <c r="X106" i="33"/>
  <c r="Y106" i="33" s="1"/>
  <c r="X108" i="33"/>
  <c r="Y108" i="33" s="1"/>
  <c r="X110" i="33"/>
  <c r="Y110" i="33" s="1"/>
  <c r="X112" i="33"/>
  <c r="Y112" i="33" s="1"/>
  <c r="X114" i="33"/>
  <c r="Y114" i="33" s="1"/>
  <c r="X116" i="33"/>
  <c r="Y116" i="33" s="1"/>
  <c r="X118" i="33"/>
  <c r="Y118" i="33" s="1"/>
  <c r="Z120" i="33"/>
  <c r="X127" i="33"/>
  <c r="X135" i="33"/>
  <c r="X143" i="33"/>
  <c r="X120" i="33"/>
  <c r="Y120" i="33" s="1"/>
  <c r="X123" i="33"/>
  <c r="X131" i="33"/>
  <c r="X139" i="33"/>
  <c r="Z129" i="33"/>
  <c r="Z137" i="33"/>
  <c r="Z145" i="33"/>
  <c r="X147" i="33"/>
  <c r="Y147" i="33" s="1"/>
  <c r="X151" i="33"/>
  <c r="Y151" i="33" s="1"/>
  <c r="Z153" i="33"/>
  <c r="X155" i="33"/>
  <c r="Y155" i="33" s="1"/>
  <c r="X159" i="33"/>
  <c r="Y159" i="33" s="1"/>
  <c r="Z161" i="33"/>
  <c r="X163" i="33"/>
  <c r="Y163" i="33" s="1"/>
  <c r="Z165" i="33"/>
  <c r="X167" i="33"/>
  <c r="Y167" i="33" s="1"/>
  <c r="Z147" i="33"/>
  <c r="Z151" i="33"/>
  <c r="Z155" i="33"/>
  <c r="Z159" i="33"/>
  <c r="Z163" i="33"/>
  <c r="Z167" i="33"/>
  <c r="Y32" i="32"/>
  <c r="Z180" i="33" s="1"/>
  <c r="W246" i="33"/>
  <c r="Y173" i="32"/>
  <c r="Y175" i="32"/>
  <c r="Y177" i="32"/>
  <c r="Y179" i="32"/>
  <c r="Y181" i="32"/>
  <c r="Y183" i="32"/>
  <c r="Y185" i="32"/>
  <c r="Y187" i="32"/>
  <c r="Y189" i="32"/>
  <c r="Y191" i="32"/>
  <c r="Y193" i="32"/>
  <c r="Y196" i="32"/>
  <c r="Y198" i="32"/>
  <c r="Y200" i="32"/>
  <c r="Y202" i="32"/>
  <c r="Y204" i="32"/>
  <c r="Y206" i="32"/>
  <c r="Y208" i="32"/>
  <c r="Y210" i="32"/>
  <c r="Y212" i="32"/>
  <c r="Y214" i="32"/>
  <c r="Y216" i="32"/>
  <c r="Y218" i="32"/>
  <c r="Y220" i="32"/>
  <c r="Y222" i="32"/>
  <c r="Y224" i="32"/>
  <c r="Y226" i="32"/>
  <c r="Y228" i="32"/>
  <c r="Y230" i="32"/>
  <c r="Y232" i="32"/>
  <c r="Y234" i="32"/>
  <c r="Y236" i="32"/>
  <c r="Y238" i="32"/>
  <c r="Y240" i="32"/>
  <c r="Y242" i="32"/>
  <c r="Y244" i="32"/>
  <c r="Y246" i="32"/>
  <c r="Y248" i="32"/>
  <c r="Y250" i="32"/>
  <c r="Y252" i="32"/>
  <c r="Y254" i="32"/>
  <c r="Y256" i="32"/>
  <c r="Y258" i="32"/>
  <c r="Y260" i="32"/>
  <c r="Y262" i="32"/>
  <c r="Y264" i="32"/>
  <c r="Y266" i="32"/>
  <c r="Y268" i="32"/>
  <c r="Y270" i="32"/>
  <c r="V272" i="32"/>
  <c r="W272" i="32"/>
  <c r="V274" i="32"/>
  <c r="W274" i="32"/>
  <c r="V276" i="32"/>
  <c r="W276" i="32"/>
  <c r="V278" i="32"/>
  <c r="W278" i="32"/>
  <c r="V280" i="32"/>
  <c r="W280" i="32"/>
  <c r="V282" i="32"/>
  <c r="W282" i="32"/>
  <c r="V284" i="32"/>
  <c r="W284" i="32"/>
  <c r="V286" i="32"/>
  <c r="W286" i="32"/>
  <c r="V288" i="32"/>
  <c r="W288" i="32"/>
  <c r="V290" i="32"/>
  <c r="W290" i="32"/>
  <c r="V292" i="32"/>
  <c r="W292" i="32"/>
  <c r="V294" i="32"/>
  <c r="W294" i="32"/>
  <c r="V296" i="32"/>
  <c r="W296" i="32"/>
  <c r="V298" i="32"/>
  <c r="W298" i="32"/>
  <c r="V300" i="32"/>
  <c r="W300" i="32"/>
  <c r="Y303" i="32"/>
  <c r="Y305" i="32"/>
  <c r="Y307" i="32"/>
  <c r="Y309" i="32"/>
  <c r="Y311" i="32"/>
  <c r="Y313" i="32"/>
  <c r="Y315" i="32"/>
  <c r="Y317" i="32"/>
  <c r="Y319" i="32"/>
  <c r="Y321" i="32"/>
  <c r="G15" i="25" l="1"/>
  <c r="X104" i="32"/>
  <c r="Y252" i="33" s="1"/>
  <c r="S161" i="33"/>
  <c r="AB161" i="33"/>
  <c r="AD161" i="33"/>
  <c r="AA161" i="33"/>
  <c r="AC161" i="33"/>
  <c r="S153" i="33"/>
  <c r="AB153" i="33"/>
  <c r="AD153" i="33"/>
  <c r="AA153" i="33"/>
  <c r="AC153" i="33"/>
  <c r="T145" i="33"/>
  <c r="AB145" i="33"/>
  <c r="AD145" i="33"/>
  <c r="AA145" i="33"/>
  <c r="AC145" i="33"/>
  <c r="T137" i="33"/>
  <c r="AB137" i="33"/>
  <c r="AD137" i="33"/>
  <c r="AA137" i="33"/>
  <c r="AC137" i="33"/>
  <c r="T129" i="33"/>
  <c r="AB129" i="33"/>
  <c r="AD129" i="33"/>
  <c r="AA129" i="33"/>
  <c r="AC129" i="33"/>
  <c r="AB121" i="33"/>
  <c r="AD121" i="33"/>
  <c r="AA121" i="33"/>
  <c r="AC121" i="33"/>
  <c r="T113" i="33"/>
  <c r="AB113" i="33"/>
  <c r="AD113" i="33"/>
  <c r="AA113" i="33"/>
  <c r="AC113" i="33"/>
  <c r="AB41" i="33"/>
  <c r="AD41" i="33"/>
  <c r="AA41" i="33"/>
  <c r="AC41" i="33"/>
  <c r="AB33" i="33"/>
  <c r="AD33" i="33"/>
  <c r="AC33" i="33"/>
  <c r="AA33" i="33"/>
  <c r="T105" i="33"/>
  <c r="AB105" i="33"/>
  <c r="AD105" i="33"/>
  <c r="AA105" i="33"/>
  <c r="AC105" i="33"/>
  <c r="T97" i="33"/>
  <c r="AB97" i="33"/>
  <c r="AD97" i="33"/>
  <c r="AA97" i="33"/>
  <c r="AC97" i="33"/>
  <c r="AB89" i="33"/>
  <c r="AD89" i="33"/>
  <c r="AA89" i="33"/>
  <c r="AC89" i="33"/>
  <c r="AB81" i="33"/>
  <c r="AD81" i="33"/>
  <c r="AA81" i="33"/>
  <c r="AC81" i="33"/>
  <c r="AB73" i="33"/>
  <c r="AD73" i="33"/>
  <c r="AA73" i="33"/>
  <c r="AC73" i="33"/>
  <c r="T65" i="33"/>
  <c r="AB65" i="33"/>
  <c r="AD65" i="33"/>
  <c r="AA65" i="33"/>
  <c r="AC65" i="33"/>
  <c r="T57" i="33"/>
  <c r="AB57" i="33"/>
  <c r="AD57" i="33"/>
  <c r="AA57" i="33"/>
  <c r="AC57" i="33"/>
  <c r="T53" i="33"/>
  <c r="AB53" i="33"/>
  <c r="AD53" i="33"/>
  <c r="AA53" i="33"/>
  <c r="AC53" i="33"/>
  <c r="AB49" i="33"/>
  <c r="AD49" i="33"/>
  <c r="AA49" i="33"/>
  <c r="AC49" i="33"/>
  <c r="AB25" i="33"/>
  <c r="AD25" i="33"/>
  <c r="AC25" i="33"/>
  <c r="AA25" i="33"/>
  <c r="T168" i="33"/>
  <c r="AC168" i="33"/>
  <c r="AA168" i="33"/>
  <c r="AB168" i="33"/>
  <c r="AD168" i="33"/>
  <c r="AB167" i="33"/>
  <c r="AD167" i="33"/>
  <c r="AC167" i="33"/>
  <c r="AA167" i="33"/>
  <c r="T166" i="33"/>
  <c r="AC166" i="33"/>
  <c r="AA166" i="33"/>
  <c r="AB166" i="33"/>
  <c r="AD166" i="33"/>
  <c r="AB165" i="33"/>
  <c r="AD165" i="33"/>
  <c r="AA165" i="33"/>
  <c r="AC165" i="33"/>
  <c r="AC164" i="33"/>
  <c r="AA164" i="33"/>
  <c r="AB164" i="33"/>
  <c r="AD164" i="33"/>
  <c r="AB163" i="33"/>
  <c r="AD163" i="33"/>
  <c r="AC163" i="33"/>
  <c r="AA163" i="33"/>
  <c r="AC162" i="33"/>
  <c r="AA162" i="33"/>
  <c r="AB162" i="33"/>
  <c r="AD162" i="33"/>
  <c r="T160" i="33"/>
  <c r="AC160" i="33"/>
  <c r="AA160" i="33"/>
  <c r="AB160" i="33"/>
  <c r="AD160" i="33"/>
  <c r="S159" i="33"/>
  <c r="AB159" i="33"/>
  <c r="AD159" i="33"/>
  <c r="AC159" i="33"/>
  <c r="AA159" i="33"/>
  <c r="AC158" i="33"/>
  <c r="AA158" i="33"/>
  <c r="AB158" i="33"/>
  <c r="AD158" i="33"/>
  <c r="AB157" i="33"/>
  <c r="AD157" i="33"/>
  <c r="AA157" i="33"/>
  <c r="AC157" i="33"/>
  <c r="AC156" i="33"/>
  <c r="AA156" i="33"/>
  <c r="AB156" i="33"/>
  <c r="AD156" i="33"/>
  <c r="S155" i="33"/>
  <c r="AB155" i="33"/>
  <c r="AD155" i="33"/>
  <c r="AC155" i="33"/>
  <c r="AA155" i="33"/>
  <c r="AC154" i="33"/>
  <c r="AA154" i="33"/>
  <c r="AB154" i="33"/>
  <c r="AD154" i="33"/>
  <c r="T152" i="33"/>
  <c r="AC152" i="33"/>
  <c r="AA152" i="33"/>
  <c r="AB152" i="33"/>
  <c r="AD152" i="33"/>
  <c r="S151" i="33"/>
  <c r="AB151" i="33"/>
  <c r="AD151" i="33"/>
  <c r="AC151" i="33"/>
  <c r="AA151" i="33"/>
  <c r="AC150" i="33"/>
  <c r="AA150" i="33"/>
  <c r="AB150" i="33"/>
  <c r="AD150" i="33"/>
  <c r="S149" i="33"/>
  <c r="AB149" i="33"/>
  <c r="AD149" i="33"/>
  <c r="AA149" i="33"/>
  <c r="AC149" i="33"/>
  <c r="AC148" i="33"/>
  <c r="AA148" i="33"/>
  <c r="AB148" i="33"/>
  <c r="AD148" i="33"/>
  <c r="S147" i="33"/>
  <c r="AB147" i="33"/>
  <c r="AD147" i="33"/>
  <c r="AC147" i="33"/>
  <c r="AA147" i="33"/>
  <c r="AC146" i="33"/>
  <c r="AA146" i="33"/>
  <c r="AB146" i="33"/>
  <c r="AD146" i="33"/>
  <c r="AC140" i="33"/>
  <c r="AA140" i="33"/>
  <c r="AB140" i="33"/>
  <c r="AD140" i="33"/>
  <c r="AB139" i="33"/>
  <c r="AD139" i="33"/>
  <c r="AC139" i="33"/>
  <c r="AA139" i="33"/>
  <c r="AC138" i="33"/>
  <c r="AA138" i="33"/>
  <c r="AB138" i="33"/>
  <c r="AD138" i="33"/>
  <c r="AC132" i="33"/>
  <c r="AA132" i="33"/>
  <c r="AB132" i="33"/>
  <c r="AD132" i="33"/>
  <c r="S131" i="33"/>
  <c r="AB131" i="33"/>
  <c r="AD131" i="33"/>
  <c r="AC131" i="33"/>
  <c r="AA131" i="33"/>
  <c r="AC130" i="33"/>
  <c r="AA130" i="33"/>
  <c r="AB130" i="33"/>
  <c r="AD130" i="33"/>
  <c r="AC124" i="33"/>
  <c r="AA124" i="33"/>
  <c r="AB124" i="33"/>
  <c r="AD124" i="33"/>
  <c r="S123" i="33"/>
  <c r="AB123" i="33"/>
  <c r="AD123" i="33"/>
  <c r="AC123" i="33"/>
  <c r="AA123" i="33"/>
  <c r="AC122" i="33"/>
  <c r="AA122" i="33"/>
  <c r="AB122" i="33"/>
  <c r="AD122" i="33"/>
  <c r="AC120" i="33"/>
  <c r="AA120" i="33"/>
  <c r="AB120" i="33"/>
  <c r="AD120" i="33"/>
  <c r="T119" i="33"/>
  <c r="AB119" i="33"/>
  <c r="AD119" i="33"/>
  <c r="AC119" i="33"/>
  <c r="AA119" i="33"/>
  <c r="S118" i="33"/>
  <c r="AC118" i="33"/>
  <c r="AA118" i="33"/>
  <c r="AB118" i="33"/>
  <c r="AD118" i="33"/>
  <c r="T117" i="33"/>
  <c r="AB117" i="33"/>
  <c r="AD117" i="33"/>
  <c r="AA117" i="33"/>
  <c r="AC117" i="33"/>
  <c r="S116" i="33"/>
  <c r="AC116" i="33"/>
  <c r="AA116" i="33"/>
  <c r="AB116" i="33"/>
  <c r="AD116" i="33"/>
  <c r="AB115" i="33"/>
  <c r="AD115" i="33"/>
  <c r="AC115" i="33"/>
  <c r="AA115" i="33"/>
  <c r="S114" i="33"/>
  <c r="AC114" i="33"/>
  <c r="AA114" i="33"/>
  <c r="AB114" i="33"/>
  <c r="AD114" i="33"/>
  <c r="AC112" i="33"/>
  <c r="AA112" i="33"/>
  <c r="AB112" i="33"/>
  <c r="AD112" i="33"/>
  <c r="AB111" i="33"/>
  <c r="AD111" i="33"/>
  <c r="AC111" i="33"/>
  <c r="AA111" i="33"/>
  <c r="AC110" i="33"/>
  <c r="AA110" i="33"/>
  <c r="AB110" i="33"/>
  <c r="AD110" i="33"/>
  <c r="AB109" i="33"/>
  <c r="AD109" i="33"/>
  <c r="AA109" i="33"/>
  <c r="AC109" i="33"/>
  <c r="T107" i="33"/>
  <c r="AB107" i="33"/>
  <c r="AD107" i="33"/>
  <c r="AC107" i="33"/>
  <c r="AA107" i="33"/>
  <c r="T39" i="33"/>
  <c r="AB39" i="33"/>
  <c r="AD39" i="33"/>
  <c r="AC39" i="33"/>
  <c r="AA39" i="33"/>
  <c r="S36" i="33"/>
  <c r="AC36" i="33"/>
  <c r="AA36" i="33"/>
  <c r="AB36" i="33"/>
  <c r="AD36" i="33"/>
  <c r="S30" i="33"/>
  <c r="AC30" i="33"/>
  <c r="AA30" i="33"/>
  <c r="AB30" i="33"/>
  <c r="AD30" i="33"/>
  <c r="T27" i="33"/>
  <c r="AB27" i="33"/>
  <c r="AD27" i="33"/>
  <c r="AC27" i="33"/>
  <c r="AA27" i="33"/>
  <c r="T23" i="33"/>
  <c r="AB23" i="33"/>
  <c r="AD23" i="33"/>
  <c r="AC23" i="33"/>
  <c r="AA23" i="33"/>
  <c r="T144" i="33"/>
  <c r="AC144" i="33"/>
  <c r="AA144" i="33"/>
  <c r="AB144" i="33"/>
  <c r="AD144" i="33"/>
  <c r="AB143" i="33"/>
  <c r="AD143" i="33"/>
  <c r="AC143" i="33"/>
  <c r="AA143" i="33"/>
  <c r="AC142" i="33"/>
  <c r="AA142" i="33"/>
  <c r="AB142" i="33"/>
  <c r="AD142" i="33"/>
  <c r="S141" i="33"/>
  <c r="AB141" i="33"/>
  <c r="AD141" i="33"/>
  <c r="AA141" i="33"/>
  <c r="AC141" i="33"/>
  <c r="AC136" i="33"/>
  <c r="AA136" i="33"/>
  <c r="AB136" i="33"/>
  <c r="AD136" i="33"/>
  <c r="S135" i="33"/>
  <c r="AB135" i="33"/>
  <c r="AD135" i="33"/>
  <c r="AC135" i="33"/>
  <c r="AA135" i="33"/>
  <c r="AC134" i="33"/>
  <c r="AA134" i="33"/>
  <c r="AB134" i="33"/>
  <c r="AD134" i="33"/>
  <c r="S133" i="33"/>
  <c r="AB133" i="33"/>
  <c r="AD133" i="33"/>
  <c r="AA133" i="33"/>
  <c r="AC133" i="33"/>
  <c r="T128" i="33"/>
  <c r="AC128" i="33"/>
  <c r="AA128" i="33"/>
  <c r="AB128" i="33"/>
  <c r="AD128" i="33"/>
  <c r="S127" i="33"/>
  <c r="AB127" i="33"/>
  <c r="AD127" i="33"/>
  <c r="AC127" i="33"/>
  <c r="AA127" i="33"/>
  <c r="AC126" i="33"/>
  <c r="AA126" i="33"/>
  <c r="AB126" i="33"/>
  <c r="AD126" i="33"/>
  <c r="S125" i="33"/>
  <c r="AB125" i="33"/>
  <c r="AD125" i="33"/>
  <c r="AA125" i="33"/>
  <c r="AC125" i="33"/>
  <c r="S104" i="33"/>
  <c r="AC104" i="33"/>
  <c r="AA104" i="33"/>
  <c r="AB104" i="33"/>
  <c r="AD104" i="33"/>
  <c r="AB103" i="33"/>
  <c r="AD103" i="33"/>
  <c r="AC103" i="33"/>
  <c r="AA103" i="33"/>
  <c r="S102" i="33"/>
  <c r="AC102" i="33"/>
  <c r="AA102" i="33"/>
  <c r="AB102" i="33"/>
  <c r="AD102" i="33"/>
  <c r="AB101" i="33"/>
  <c r="AD101" i="33"/>
  <c r="AA101" i="33"/>
  <c r="AC101" i="33"/>
  <c r="S100" i="33"/>
  <c r="AC100" i="33"/>
  <c r="AA100" i="33"/>
  <c r="AB100" i="33"/>
  <c r="AD100" i="33"/>
  <c r="T99" i="33"/>
  <c r="AB99" i="33"/>
  <c r="AD99" i="33"/>
  <c r="AC99" i="33"/>
  <c r="AA99" i="33"/>
  <c r="S98" i="33"/>
  <c r="AC98" i="33"/>
  <c r="AA98" i="33"/>
  <c r="AB98" i="33"/>
  <c r="AD98" i="33"/>
  <c r="S96" i="33"/>
  <c r="AC96" i="33"/>
  <c r="AA96" i="33"/>
  <c r="AB96" i="33"/>
  <c r="AD96" i="33"/>
  <c r="AB95" i="33"/>
  <c r="AD95" i="33"/>
  <c r="AC95" i="33"/>
  <c r="AA95" i="33"/>
  <c r="S94" i="33"/>
  <c r="AC94" i="33"/>
  <c r="AA94" i="33"/>
  <c r="AB94" i="33"/>
  <c r="AD94" i="33"/>
  <c r="T93" i="33"/>
  <c r="AB93" i="33"/>
  <c r="AD93" i="33"/>
  <c r="AA93" i="33"/>
  <c r="AC93" i="33"/>
  <c r="S92" i="33"/>
  <c r="AC92" i="33"/>
  <c r="AA92" i="33"/>
  <c r="AB92" i="33"/>
  <c r="AD92" i="33"/>
  <c r="T91" i="33"/>
  <c r="AB91" i="33"/>
  <c r="AD91" i="33"/>
  <c r="AC91" i="33"/>
  <c r="AA91" i="33"/>
  <c r="S90" i="33"/>
  <c r="AC90" i="33"/>
  <c r="AA90" i="33"/>
  <c r="AB90" i="33"/>
  <c r="AD90" i="33"/>
  <c r="S88" i="33"/>
  <c r="AC88" i="33"/>
  <c r="AA88" i="33"/>
  <c r="AB88" i="33"/>
  <c r="AD88" i="33"/>
  <c r="AB87" i="33"/>
  <c r="AD87" i="33"/>
  <c r="AC87" i="33"/>
  <c r="AA87" i="33"/>
  <c r="S86" i="33"/>
  <c r="AC86" i="33"/>
  <c r="AA86" i="33"/>
  <c r="AB86" i="33"/>
  <c r="AD86" i="33"/>
  <c r="AB85" i="33"/>
  <c r="AD85" i="33"/>
  <c r="AA85" i="33"/>
  <c r="AC85" i="33"/>
  <c r="S84" i="33"/>
  <c r="AC84" i="33"/>
  <c r="AA84" i="33"/>
  <c r="AB84" i="33"/>
  <c r="AD84" i="33"/>
  <c r="T83" i="33"/>
  <c r="AB83" i="33"/>
  <c r="AD83" i="33"/>
  <c r="AC83" i="33"/>
  <c r="AA83" i="33"/>
  <c r="S82" i="33"/>
  <c r="AC82" i="33"/>
  <c r="AA82" i="33"/>
  <c r="AB82" i="33"/>
  <c r="AD82" i="33"/>
  <c r="S80" i="33"/>
  <c r="AC80" i="33"/>
  <c r="AA80" i="33"/>
  <c r="AB80" i="33"/>
  <c r="AD80" i="33"/>
  <c r="AB79" i="33"/>
  <c r="AD79" i="33"/>
  <c r="AC79" i="33"/>
  <c r="AA79" i="33"/>
  <c r="S78" i="33"/>
  <c r="AC78" i="33"/>
  <c r="AA78" i="33"/>
  <c r="AB78" i="33"/>
  <c r="AD78" i="33"/>
  <c r="T77" i="33"/>
  <c r="AB77" i="33"/>
  <c r="AD77" i="33"/>
  <c r="AA77" i="33"/>
  <c r="AC77" i="33"/>
  <c r="S76" i="33"/>
  <c r="AC76" i="33"/>
  <c r="AA76" i="33"/>
  <c r="AB76" i="33"/>
  <c r="AD76" i="33"/>
  <c r="T75" i="33"/>
  <c r="AB75" i="33"/>
  <c r="AD75" i="33"/>
  <c r="AC75" i="33"/>
  <c r="AA75" i="33"/>
  <c r="S74" i="33"/>
  <c r="AC74" i="33"/>
  <c r="AA74" i="33"/>
  <c r="AB74" i="33"/>
  <c r="AD74" i="33"/>
  <c r="S72" i="33"/>
  <c r="AC72" i="33"/>
  <c r="AA72" i="33"/>
  <c r="AB72" i="33"/>
  <c r="AD72" i="33"/>
  <c r="AB71" i="33"/>
  <c r="AD71" i="33"/>
  <c r="AC71" i="33"/>
  <c r="AA71" i="33"/>
  <c r="S70" i="33"/>
  <c r="AC70" i="33"/>
  <c r="AA70" i="33"/>
  <c r="AB70" i="33"/>
  <c r="AD70" i="33"/>
  <c r="AB69" i="33"/>
  <c r="AD69" i="33"/>
  <c r="AA69" i="33"/>
  <c r="AC69" i="33"/>
  <c r="S68" i="33"/>
  <c r="AC68" i="33"/>
  <c r="AA68" i="33"/>
  <c r="AB68" i="33"/>
  <c r="AD68" i="33"/>
  <c r="T67" i="33"/>
  <c r="AB67" i="33"/>
  <c r="AD67" i="33"/>
  <c r="AC67" i="33"/>
  <c r="AA67" i="33"/>
  <c r="S66" i="33"/>
  <c r="AC66" i="33"/>
  <c r="AA66" i="33"/>
  <c r="AB66" i="33"/>
  <c r="AD66" i="33"/>
  <c r="S64" i="33"/>
  <c r="AC64" i="33"/>
  <c r="AA64" i="33"/>
  <c r="AB64" i="33"/>
  <c r="AD64" i="33"/>
  <c r="AB63" i="33"/>
  <c r="AD63" i="33"/>
  <c r="AC63" i="33"/>
  <c r="AA63" i="33"/>
  <c r="S62" i="33"/>
  <c r="AC62" i="33"/>
  <c r="AA62" i="33"/>
  <c r="AB62" i="33"/>
  <c r="AD62" i="33"/>
  <c r="T61" i="33"/>
  <c r="AB61" i="33"/>
  <c r="AD61" i="33"/>
  <c r="AA61" i="33"/>
  <c r="AC61" i="33"/>
  <c r="S60" i="33"/>
  <c r="AC60" i="33"/>
  <c r="AA60" i="33"/>
  <c r="AB60" i="33"/>
  <c r="AD60" i="33"/>
  <c r="T59" i="33"/>
  <c r="AB59" i="33"/>
  <c r="AD59" i="33"/>
  <c r="AC59" i="33"/>
  <c r="AA59" i="33"/>
  <c r="S58" i="33"/>
  <c r="AC58" i="33"/>
  <c r="AA58" i="33"/>
  <c r="AB58" i="33"/>
  <c r="AD58" i="33"/>
  <c r="AC56" i="33"/>
  <c r="AA56" i="33"/>
  <c r="AB56" i="33"/>
  <c r="AD56" i="33"/>
  <c r="AB55" i="33"/>
  <c r="AD55" i="33"/>
  <c r="AC55" i="33"/>
  <c r="AA55" i="33"/>
  <c r="AC54" i="33"/>
  <c r="AA54" i="33"/>
  <c r="AB54" i="33"/>
  <c r="AD54" i="33"/>
  <c r="AC52" i="33"/>
  <c r="AA52" i="33"/>
  <c r="AB52" i="33"/>
  <c r="AD52" i="33"/>
  <c r="AB51" i="33"/>
  <c r="AD51" i="33"/>
  <c r="AC51" i="33"/>
  <c r="AA51" i="33"/>
  <c r="AC50" i="33"/>
  <c r="AA50" i="33"/>
  <c r="AB50" i="33"/>
  <c r="AD50" i="33"/>
  <c r="AC48" i="33"/>
  <c r="AA48" i="33"/>
  <c r="AB48" i="33"/>
  <c r="AD48" i="33"/>
  <c r="T47" i="33"/>
  <c r="AB47" i="33"/>
  <c r="AD47" i="33"/>
  <c r="AC47" i="33"/>
  <c r="AA47" i="33"/>
  <c r="AC46" i="33"/>
  <c r="AA46" i="33"/>
  <c r="AB46" i="33"/>
  <c r="AD46" i="33"/>
  <c r="T45" i="33"/>
  <c r="AB45" i="33"/>
  <c r="AD45" i="33"/>
  <c r="AA45" i="33"/>
  <c r="AC45" i="33"/>
  <c r="AC108" i="33"/>
  <c r="AA108" i="33"/>
  <c r="AB108" i="33"/>
  <c r="AD108" i="33"/>
  <c r="AC106" i="33"/>
  <c r="AA106" i="33"/>
  <c r="AB106" i="33"/>
  <c r="AD106" i="33"/>
  <c r="AC44" i="33"/>
  <c r="AA44" i="33"/>
  <c r="AB44" i="33"/>
  <c r="AD44" i="33"/>
  <c r="T43" i="33"/>
  <c r="AB43" i="33"/>
  <c r="AD43" i="33"/>
  <c r="AC43" i="33"/>
  <c r="AA43" i="33"/>
  <c r="AC42" i="33"/>
  <c r="AA42" i="33"/>
  <c r="AB42" i="33"/>
  <c r="AD42" i="33"/>
  <c r="AC40" i="33"/>
  <c r="AA40" i="33"/>
  <c r="AB40" i="33"/>
  <c r="AD40" i="33"/>
  <c r="AC38" i="33"/>
  <c r="AA38" i="33"/>
  <c r="AB38" i="33"/>
  <c r="AD38" i="33"/>
  <c r="AB37" i="33"/>
  <c r="AD37" i="33"/>
  <c r="AC37" i="33"/>
  <c r="AA37" i="33"/>
  <c r="AC34" i="33"/>
  <c r="AA34" i="33"/>
  <c r="AB34" i="33"/>
  <c r="AD34" i="33"/>
  <c r="AC32" i="33"/>
  <c r="AA32" i="33"/>
  <c r="AB32" i="33"/>
  <c r="AD32" i="33"/>
  <c r="T31" i="33"/>
  <c r="AB31" i="33"/>
  <c r="AD31" i="33"/>
  <c r="AC31" i="33"/>
  <c r="AA31" i="33"/>
  <c r="AB29" i="33"/>
  <c r="AD29" i="33"/>
  <c r="AC29" i="33"/>
  <c r="AA29" i="33"/>
  <c r="AC26" i="33"/>
  <c r="AA26" i="33"/>
  <c r="AB26" i="33"/>
  <c r="AD26" i="33"/>
  <c r="AC24" i="33"/>
  <c r="AA24" i="33"/>
  <c r="AB24" i="33"/>
  <c r="AD24" i="33"/>
  <c r="AC20" i="33"/>
  <c r="AA20" i="33"/>
  <c r="AB20" i="33"/>
  <c r="AD20" i="33"/>
  <c r="R170" i="33"/>
  <c r="AH17" i="35" a="1"/>
  <c r="AH17" i="35" s="1"/>
  <c r="AI16" i="35"/>
  <c r="X86" i="32"/>
  <c r="Y234" i="33" s="1"/>
  <c r="X47" i="32"/>
  <c r="Y195" i="33" s="1"/>
  <c r="X44" i="32"/>
  <c r="Y192" i="33" s="1"/>
  <c r="X49" i="32"/>
  <c r="Y197" i="33" s="1"/>
  <c r="X99" i="32"/>
  <c r="Y247" i="33" s="1"/>
  <c r="X66" i="32"/>
  <c r="Y214" i="33" s="1"/>
  <c r="S31" i="33"/>
  <c r="X139" i="32"/>
  <c r="Y287" i="33" s="1"/>
  <c r="X133" i="32"/>
  <c r="Y281" i="33" s="1"/>
  <c r="X155" i="32"/>
  <c r="Y303" i="33" s="1"/>
  <c r="X127" i="32"/>
  <c r="Y275" i="33" s="1"/>
  <c r="X107" i="32"/>
  <c r="Y255" i="33" s="1"/>
  <c r="X156" i="32"/>
  <c r="Y304" i="33" s="1"/>
  <c r="X120" i="32"/>
  <c r="Y268" i="33" s="1"/>
  <c r="X89" i="32"/>
  <c r="Y237" i="33" s="1"/>
  <c r="S45" i="33"/>
  <c r="X167" i="32"/>
  <c r="Y315" i="33" s="1"/>
  <c r="X147" i="32"/>
  <c r="Y295" i="33" s="1"/>
  <c r="X134" i="32"/>
  <c r="Y282" i="33" s="1"/>
  <c r="X111" i="32"/>
  <c r="Y259" i="33" s="1"/>
  <c r="X77" i="32"/>
  <c r="Y225" i="33" s="1"/>
  <c r="X123" i="32"/>
  <c r="Y271" i="33" s="1"/>
  <c r="X148" i="32"/>
  <c r="Y296" i="33" s="1"/>
  <c r="X128" i="32"/>
  <c r="Y276" i="33" s="1"/>
  <c r="X112" i="32"/>
  <c r="Y260" i="33" s="1"/>
  <c r="T125" i="33"/>
  <c r="S39" i="33"/>
  <c r="S27" i="33"/>
  <c r="X163" i="32"/>
  <c r="Y311" i="33" s="1"/>
  <c r="X151" i="32"/>
  <c r="Y299" i="33" s="1"/>
  <c r="X143" i="32"/>
  <c r="Y291" i="33" s="1"/>
  <c r="X135" i="32"/>
  <c r="Y283" i="33" s="1"/>
  <c r="X131" i="32"/>
  <c r="Y279" i="33" s="1"/>
  <c r="X119" i="32"/>
  <c r="Y267" i="33" s="1"/>
  <c r="X103" i="32"/>
  <c r="Y251" i="33" s="1"/>
  <c r="X81" i="32"/>
  <c r="Y229" i="33" s="1"/>
  <c r="X53" i="32"/>
  <c r="Y201" i="33" s="1"/>
  <c r="X46" i="32"/>
  <c r="Y194" i="33" s="1"/>
  <c r="X115" i="32"/>
  <c r="Y263" i="33" s="1"/>
  <c r="X164" i="32"/>
  <c r="Y312" i="33" s="1"/>
  <c r="X149" i="32"/>
  <c r="Y297" i="33" s="1"/>
  <c r="X140" i="32"/>
  <c r="Y288" i="33" s="1"/>
  <c r="X132" i="32"/>
  <c r="Y280" i="33" s="1"/>
  <c r="X124" i="32"/>
  <c r="Y272" i="33" s="1"/>
  <c r="X116" i="32"/>
  <c r="Y264" i="33" s="1"/>
  <c r="X108" i="32"/>
  <c r="Y256" i="33" s="1"/>
  <c r="X100" i="32"/>
  <c r="Y248" i="33" s="1"/>
  <c r="X83" i="32"/>
  <c r="Y231" i="33" s="1"/>
  <c r="X79" i="32"/>
  <c r="Y227" i="33" s="1"/>
  <c r="X75" i="32"/>
  <c r="Y223" i="33" s="1"/>
  <c r="X67" i="32"/>
  <c r="Y215" i="33" s="1"/>
  <c r="X78" i="32"/>
  <c r="Y226" i="33" s="1"/>
  <c r="X52" i="32"/>
  <c r="Y200" i="33" s="1"/>
  <c r="X91" i="32"/>
  <c r="Y239" i="33" s="1"/>
  <c r="X87" i="32"/>
  <c r="Y235" i="33" s="1"/>
  <c r="X71" i="32"/>
  <c r="Y219" i="33" s="1"/>
  <c r="X55" i="32"/>
  <c r="Y203" i="33" s="1"/>
  <c r="X39" i="32"/>
  <c r="Y187" i="33" s="1"/>
  <c r="X90" i="32"/>
  <c r="Y238" i="33" s="1"/>
  <c r="X82" i="32"/>
  <c r="Y230" i="33" s="1"/>
  <c r="X68" i="32"/>
  <c r="Y216" i="33" s="1"/>
  <c r="X62" i="32"/>
  <c r="Y210" i="33" s="1"/>
  <c r="X48" i="32"/>
  <c r="Y196" i="33" s="1"/>
  <c r="X42" i="32"/>
  <c r="Y190" i="33" s="1"/>
  <c r="X64" i="32"/>
  <c r="Y212" i="33" s="1"/>
  <c r="X165" i="32"/>
  <c r="Y313" i="33" s="1"/>
  <c r="X157" i="32"/>
  <c r="Y305" i="33" s="1"/>
  <c r="X153" i="32"/>
  <c r="Y301" i="33" s="1"/>
  <c r="X137" i="32"/>
  <c r="Y285" i="33" s="1"/>
  <c r="X37" i="32"/>
  <c r="Y185" i="33" s="1"/>
  <c r="S145" i="33"/>
  <c r="Y97" i="32"/>
  <c r="Z245" i="33" s="1"/>
  <c r="X29" i="32"/>
  <c r="Y177" i="33" s="1"/>
  <c r="S77" i="33"/>
  <c r="Y30" i="32"/>
  <c r="Z178" i="33" s="1"/>
  <c r="T135" i="33"/>
  <c r="S93" i="33"/>
  <c r="Y124" i="33"/>
  <c r="Y57" i="33"/>
  <c r="T36" i="33"/>
  <c r="T30" i="33"/>
  <c r="X97" i="32"/>
  <c r="Y245" i="33" s="1"/>
  <c r="X65" i="32"/>
  <c r="Y213" i="33" s="1"/>
  <c r="X32" i="32"/>
  <c r="Y180" i="33" s="1"/>
  <c r="Y26" i="32"/>
  <c r="Z174" i="33" s="1"/>
  <c r="T141" i="33"/>
  <c r="S129" i="33"/>
  <c r="Y105" i="33"/>
  <c r="T104" i="33"/>
  <c r="T102" i="33"/>
  <c r="T100" i="33"/>
  <c r="T98" i="33"/>
  <c r="T96" i="33"/>
  <c r="T94" i="33"/>
  <c r="T92" i="33"/>
  <c r="T90" i="33"/>
  <c r="T88" i="33"/>
  <c r="T86" i="33"/>
  <c r="T84" i="33"/>
  <c r="T82" i="33"/>
  <c r="T80" i="33"/>
  <c r="T78" i="33"/>
  <c r="T76" i="33"/>
  <c r="T74" i="33"/>
  <c r="T72" i="33"/>
  <c r="T70" i="33"/>
  <c r="T68" i="33"/>
  <c r="T66" i="33"/>
  <c r="T64" i="33"/>
  <c r="T62" i="33"/>
  <c r="T60" i="33"/>
  <c r="T58" i="33"/>
  <c r="S128" i="33"/>
  <c r="S91" i="33"/>
  <c r="S47" i="33"/>
  <c r="S67" i="33"/>
  <c r="X169" i="32"/>
  <c r="Y317" i="33" s="1"/>
  <c r="X105" i="32"/>
  <c r="Y253" i="33" s="1"/>
  <c r="Y94" i="32"/>
  <c r="Z242" i="33" s="1"/>
  <c r="S168" i="33"/>
  <c r="T159" i="33"/>
  <c r="S107" i="33"/>
  <c r="X95" i="32"/>
  <c r="Y243" i="33" s="1"/>
  <c r="Y95" i="32"/>
  <c r="Z243" i="33" s="1"/>
  <c r="X80" i="32"/>
  <c r="Y228" i="33" s="1"/>
  <c r="X35" i="32"/>
  <c r="Y183" i="33" s="1"/>
  <c r="X30" i="32"/>
  <c r="Y178" i="33" s="1"/>
  <c r="X26" i="32"/>
  <c r="Y174" i="33" s="1"/>
  <c r="Y37" i="32"/>
  <c r="Z185" i="33" s="1"/>
  <c r="Y29" i="32"/>
  <c r="Z177" i="33" s="1"/>
  <c r="Y35" i="32"/>
  <c r="Z183" i="33" s="1"/>
  <c r="T161" i="33"/>
  <c r="T153" i="33"/>
  <c r="T133" i="33"/>
  <c r="S137" i="33"/>
  <c r="S144" i="33"/>
  <c r="T127" i="33"/>
  <c r="S99" i="33"/>
  <c r="S83" i="33"/>
  <c r="S61" i="33"/>
  <c r="S113" i="33"/>
  <c r="S75" i="33"/>
  <c r="S59" i="33"/>
  <c r="S43" i="33"/>
  <c r="T121" i="33"/>
  <c r="S121" i="33"/>
  <c r="T41" i="33"/>
  <c r="S41" i="33"/>
  <c r="T33" i="33"/>
  <c r="S33" i="33"/>
  <c r="S143" i="33"/>
  <c r="T143" i="33"/>
  <c r="T142" i="33"/>
  <c r="S142" i="33"/>
  <c r="T136" i="33"/>
  <c r="S136" i="33"/>
  <c r="T134" i="33"/>
  <c r="S134" i="33"/>
  <c r="T126" i="33"/>
  <c r="S126" i="33"/>
  <c r="T103" i="33"/>
  <c r="S103" i="33"/>
  <c r="T101" i="33"/>
  <c r="S101" i="33"/>
  <c r="T95" i="33"/>
  <c r="S95" i="33"/>
  <c r="T87" i="33"/>
  <c r="S87" i="33"/>
  <c r="T85" i="33"/>
  <c r="S85" i="33"/>
  <c r="T79" i="33"/>
  <c r="S79" i="33"/>
  <c r="T71" i="33"/>
  <c r="S71" i="33"/>
  <c r="T69" i="33"/>
  <c r="S69" i="33"/>
  <c r="T63" i="33"/>
  <c r="S63" i="33"/>
  <c r="S56" i="33"/>
  <c r="T56" i="33"/>
  <c r="T55" i="33"/>
  <c r="S55" i="33"/>
  <c r="S54" i="33"/>
  <c r="T54" i="33"/>
  <c r="S52" i="33"/>
  <c r="T52" i="33"/>
  <c r="T51" i="33"/>
  <c r="S51" i="33"/>
  <c r="S50" i="33"/>
  <c r="T50" i="33"/>
  <c r="S48" i="33"/>
  <c r="T48" i="33"/>
  <c r="S46" i="33"/>
  <c r="T46" i="33"/>
  <c r="S108" i="33"/>
  <c r="T108" i="33"/>
  <c r="S106" i="33"/>
  <c r="T106" i="33"/>
  <c r="S44" i="33"/>
  <c r="T44" i="33"/>
  <c r="S42" i="33"/>
  <c r="T42" i="33"/>
  <c r="S40" i="33"/>
  <c r="T40" i="33"/>
  <c r="S38" i="33"/>
  <c r="T38" i="33"/>
  <c r="T37" i="33"/>
  <c r="S37" i="33"/>
  <c r="S34" i="33"/>
  <c r="T34" i="33"/>
  <c r="S32" i="33"/>
  <c r="T32" i="33"/>
  <c r="T29" i="33"/>
  <c r="S29" i="33"/>
  <c r="S26" i="33"/>
  <c r="T26" i="33"/>
  <c r="S24" i="33"/>
  <c r="T24" i="33"/>
  <c r="S20" i="33"/>
  <c r="T20" i="33"/>
  <c r="X166" i="32"/>
  <c r="Y314" i="33" s="1"/>
  <c r="X158" i="32"/>
  <c r="Y306" i="33" s="1"/>
  <c r="X150" i="32"/>
  <c r="Y298" i="33" s="1"/>
  <c r="X142" i="32"/>
  <c r="Y290" i="33" s="1"/>
  <c r="X130" i="32"/>
  <c r="Y278" i="33" s="1"/>
  <c r="X122" i="32"/>
  <c r="Y270" i="33" s="1"/>
  <c r="X114" i="32"/>
  <c r="Y262" i="33" s="1"/>
  <c r="X106" i="32"/>
  <c r="Y254" i="33" s="1"/>
  <c r="X93" i="32"/>
  <c r="Y241" i="33" s="1"/>
  <c r="X85" i="32"/>
  <c r="Y233" i="33" s="1"/>
  <c r="X73" i="32"/>
  <c r="Y221" i="33" s="1"/>
  <c r="X69" i="32"/>
  <c r="Y217" i="33" s="1"/>
  <c r="X61" i="32"/>
  <c r="Y209" i="33" s="1"/>
  <c r="X57" i="32"/>
  <c r="Y205" i="33" s="1"/>
  <c r="X45" i="32"/>
  <c r="Y193" i="33" s="1"/>
  <c r="X41" i="32"/>
  <c r="Y189" i="33" s="1"/>
  <c r="X92" i="32"/>
  <c r="Y240" i="33" s="1"/>
  <c r="X88" i="32"/>
  <c r="Y236" i="33" s="1"/>
  <c r="X84" i="32"/>
  <c r="Y232" i="33" s="1"/>
  <c r="X76" i="32"/>
  <c r="Y224" i="33" s="1"/>
  <c r="X70" i="32"/>
  <c r="Y218" i="33" s="1"/>
  <c r="X60" i="32"/>
  <c r="Y208" i="33" s="1"/>
  <c r="X54" i="32"/>
  <c r="Y202" i="33" s="1"/>
  <c r="X50" i="32"/>
  <c r="Y198" i="33" s="1"/>
  <c r="X40" i="32"/>
  <c r="Y188" i="33" s="1"/>
  <c r="X72" i="32"/>
  <c r="Y220" i="33" s="1"/>
  <c r="X58" i="32"/>
  <c r="Y206" i="33" s="1"/>
  <c r="X161" i="32"/>
  <c r="Y309" i="33" s="1"/>
  <c r="X145" i="32"/>
  <c r="Y293" i="33" s="1"/>
  <c r="X141" i="32"/>
  <c r="Y289" i="33" s="1"/>
  <c r="X129" i="32"/>
  <c r="Y277" i="33" s="1"/>
  <c r="X125" i="32"/>
  <c r="Y273" i="33" s="1"/>
  <c r="X121" i="32"/>
  <c r="Y269" i="33" s="1"/>
  <c r="X117" i="32"/>
  <c r="Y265" i="33" s="1"/>
  <c r="X113" i="32"/>
  <c r="Y261" i="33" s="1"/>
  <c r="X109" i="32"/>
  <c r="Y257" i="33" s="1"/>
  <c r="X101" i="32"/>
  <c r="Y249" i="33" s="1"/>
  <c r="X34" i="32"/>
  <c r="Y182" i="33" s="1"/>
  <c r="X96" i="32"/>
  <c r="Y244" i="33" s="1"/>
  <c r="X36" i="32"/>
  <c r="Y184" i="33" s="1"/>
  <c r="Y36" i="32"/>
  <c r="Z184" i="33" s="1"/>
  <c r="Y164" i="33"/>
  <c r="S152" i="33"/>
  <c r="T151" i="33"/>
  <c r="T123" i="33"/>
  <c r="X94" i="32"/>
  <c r="Y242" i="33" s="1"/>
  <c r="T149" i="33"/>
  <c r="T118" i="33"/>
  <c r="T116" i="33"/>
  <c r="T114" i="33"/>
  <c r="Y81" i="33"/>
  <c r="S160" i="33"/>
  <c r="S166" i="33"/>
  <c r="T155" i="33"/>
  <c r="T147" i="33"/>
  <c r="T131" i="33"/>
  <c r="S117" i="33"/>
  <c r="S57" i="33"/>
  <c r="S119" i="33"/>
  <c r="S105" i="33"/>
  <c r="S97" i="33"/>
  <c r="S65" i="33"/>
  <c r="S53" i="33"/>
  <c r="S23" i="33"/>
  <c r="Y158" i="33"/>
  <c r="X227" i="32"/>
  <c r="X203" i="32"/>
  <c r="X184" i="32"/>
  <c r="X211" i="32"/>
  <c r="X195" i="32"/>
  <c r="Y132" i="33"/>
  <c r="Y97" i="33"/>
  <c r="X243" i="32"/>
  <c r="X219" i="32"/>
  <c r="Y41" i="33"/>
  <c r="X251" i="32"/>
  <c r="X235" i="32"/>
  <c r="X314" i="32"/>
  <c r="Y314" i="32"/>
  <c r="Z166" i="33"/>
  <c r="Y166" i="33"/>
  <c r="Z142" i="33"/>
  <c r="Y142" i="33"/>
  <c r="Z121" i="33"/>
  <c r="Y121" i="33"/>
  <c r="Z49" i="33"/>
  <c r="Y49" i="33"/>
  <c r="Z113" i="33"/>
  <c r="Y113" i="33"/>
  <c r="Z73" i="33"/>
  <c r="Y73" i="33"/>
  <c r="Z148" i="33"/>
  <c r="Y148" i="33"/>
  <c r="S167" i="33"/>
  <c r="T167" i="33"/>
  <c r="S165" i="33"/>
  <c r="T165" i="33"/>
  <c r="T164" i="33"/>
  <c r="S164" i="33"/>
  <c r="S163" i="33"/>
  <c r="T163" i="33"/>
  <c r="T162" i="33"/>
  <c r="S162" i="33"/>
  <c r="T158" i="33"/>
  <c r="S158" i="33"/>
  <c r="S157" i="33"/>
  <c r="T157" i="33"/>
  <c r="T156" i="33"/>
  <c r="S156" i="33"/>
  <c r="T154" i="33"/>
  <c r="S154" i="33"/>
  <c r="T150" i="33"/>
  <c r="S150" i="33"/>
  <c r="T148" i="33"/>
  <c r="S148" i="33"/>
  <c r="T146" i="33"/>
  <c r="S146" i="33"/>
  <c r="T140" i="33"/>
  <c r="S140" i="33"/>
  <c r="S139" i="33"/>
  <c r="T139" i="33"/>
  <c r="T138" i="33"/>
  <c r="S138" i="33"/>
  <c r="T132" i="33"/>
  <c r="S132" i="33"/>
  <c r="T130" i="33"/>
  <c r="S130" i="33"/>
  <c r="T124" i="33"/>
  <c r="S124" i="33"/>
  <c r="T122" i="33"/>
  <c r="S122" i="33"/>
  <c r="S120" i="33"/>
  <c r="T120" i="33"/>
  <c r="T115" i="33"/>
  <c r="S115" i="33"/>
  <c r="S112" i="33"/>
  <c r="T112" i="33"/>
  <c r="T111" i="33"/>
  <c r="S111" i="33"/>
  <c r="S110" i="33"/>
  <c r="T110" i="33"/>
  <c r="T109" i="33"/>
  <c r="S109" i="33"/>
  <c r="W182" i="33"/>
  <c r="Y34" i="32"/>
  <c r="Z182" i="33" s="1"/>
  <c r="W175" i="33"/>
  <c r="X27" i="32"/>
  <c r="Y175" i="33" s="1"/>
  <c r="T89" i="33"/>
  <c r="S89" i="33"/>
  <c r="T81" i="33"/>
  <c r="S81" i="33"/>
  <c r="T73" i="33"/>
  <c r="S73" i="33"/>
  <c r="T49" i="33"/>
  <c r="S49" i="33"/>
  <c r="T25" i="33"/>
  <c r="S25" i="33"/>
  <c r="W244" i="33"/>
  <c r="Y96" i="32"/>
  <c r="Z244" i="33" s="1"/>
  <c r="W181" i="33"/>
  <c r="X33" i="32"/>
  <c r="Y181" i="33" s="1"/>
  <c r="W179" i="33"/>
  <c r="Y31" i="32"/>
  <c r="Z179" i="33" s="1"/>
  <c r="X31" i="32"/>
  <c r="Y179" i="33" s="1"/>
  <c r="W173" i="33"/>
  <c r="X159" i="32"/>
  <c r="Y307" i="33" s="1"/>
  <c r="X63" i="32"/>
  <c r="Y211" i="33" s="1"/>
  <c r="X59" i="32"/>
  <c r="Y207" i="33" s="1"/>
  <c r="X51" i="32"/>
  <c r="Y199" i="33" s="1"/>
  <c r="X43" i="32"/>
  <c r="Y191" i="33" s="1"/>
  <c r="X74" i="32"/>
  <c r="Y222" i="33" s="1"/>
  <c r="X56" i="32"/>
  <c r="Y204" i="33" s="1"/>
  <c r="X38" i="32"/>
  <c r="Y186" i="33" s="1"/>
  <c r="X271" i="32"/>
  <c r="X255" i="32"/>
  <c r="X247" i="32"/>
  <c r="X239" i="32"/>
  <c r="X231" i="32"/>
  <c r="X223" i="32"/>
  <c r="X215" i="32"/>
  <c r="X207" i="32"/>
  <c r="X199" i="32"/>
  <c r="Y69" i="33"/>
  <c r="Y25" i="33"/>
  <c r="Y259" i="32"/>
  <c r="X281" i="32"/>
  <c r="Y322" i="32"/>
  <c r="Y306" i="32"/>
  <c r="Y265" i="32"/>
  <c r="Y257" i="32"/>
  <c r="X253" i="32"/>
  <c r="X249" i="32"/>
  <c r="X245" i="32"/>
  <c r="X241" i="32"/>
  <c r="X237" i="32"/>
  <c r="X233" i="32"/>
  <c r="X229" i="32"/>
  <c r="X225" i="32"/>
  <c r="X221" i="32"/>
  <c r="X217" i="32"/>
  <c r="X213" i="32"/>
  <c r="X209" i="32"/>
  <c r="X205" i="32"/>
  <c r="X201" i="32"/>
  <c r="X197" i="32"/>
  <c r="Y140" i="33"/>
  <c r="Y101" i="33"/>
  <c r="Y89" i="33"/>
  <c r="Y65" i="33"/>
  <c r="Y33" i="33"/>
  <c r="Y141" i="33"/>
  <c r="Y39" i="33"/>
  <c r="Y134" i="33"/>
  <c r="X320" i="32"/>
  <c r="Y308" i="32"/>
  <c r="X304" i="32"/>
  <c r="Y117" i="33"/>
  <c r="Y85" i="33"/>
  <c r="Y53" i="33"/>
  <c r="Y37" i="33"/>
  <c r="Y31" i="33"/>
  <c r="Y23" i="33"/>
  <c r="X297" i="32"/>
  <c r="Y126" i="33"/>
  <c r="Y103" i="33"/>
  <c r="Y95" i="33"/>
  <c r="Y71" i="33"/>
  <c r="Y63" i="33"/>
  <c r="Y138" i="33"/>
  <c r="Y107" i="33"/>
  <c r="Y99" i="33"/>
  <c r="Y75" i="33"/>
  <c r="Y67" i="33"/>
  <c r="Y43" i="33"/>
  <c r="X289" i="32"/>
  <c r="X273" i="32"/>
  <c r="X301" i="32"/>
  <c r="X293" i="32"/>
  <c r="X285" i="32"/>
  <c r="X277" i="32"/>
  <c r="Y150" i="33"/>
  <c r="J321" i="32"/>
  <c r="S321" i="32" s="1"/>
  <c r="K321" i="32"/>
  <c r="J320" i="32"/>
  <c r="S320" i="32" s="1"/>
  <c r="K320" i="32"/>
  <c r="J317" i="32"/>
  <c r="S317" i="32" s="1"/>
  <c r="K317" i="32"/>
  <c r="J316" i="32"/>
  <c r="S316" i="32" s="1"/>
  <c r="K316" i="32"/>
  <c r="J313" i="32"/>
  <c r="S313" i="32" s="1"/>
  <c r="K313" i="32"/>
  <c r="J312" i="32"/>
  <c r="S312" i="32" s="1"/>
  <c r="K312" i="32"/>
  <c r="J309" i="32"/>
  <c r="S309" i="32" s="1"/>
  <c r="K309" i="32"/>
  <c r="J308" i="32"/>
  <c r="S308" i="32" s="1"/>
  <c r="K308" i="32"/>
  <c r="J305" i="32"/>
  <c r="S305" i="32" s="1"/>
  <c r="K305" i="32"/>
  <c r="J304" i="32"/>
  <c r="S304" i="32" s="1"/>
  <c r="K304" i="32"/>
  <c r="J300" i="32"/>
  <c r="S300" i="32" s="1"/>
  <c r="K300" i="32"/>
  <c r="J296" i="32"/>
  <c r="S296" i="32" s="1"/>
  <c r="K296" i="32"/>
  <c r="J292" i="32"/>
  <c r="S292" i="32" s="1"/>
  <c r="K292" i="32"/>
  <c r="J288" i="32"/>
  <c r="S288" i="32" s="1"/>
  <c r="K288" i="32"/>
  <c r="J284" i="32"/>
  <c r="S284" i="32" s="1"/>
  <c r="K284" i="32"/>
  <c r="J280" i="32"/>
  <c r="S280" i="32" s="1"/>
  <c r="K280" i="32"/>
  <c r="J276" i="32"/>
  <c r="S276" i="32" s="1"/>
  <c r="K276" i="32"/>
  <c r="J272" i="32"/>
  <c r="S272" i="32" s="1"/>
  <c r="K272" i="32"/>
  <c r="J271" i="32"/>
  <c r="S271" i="32" s="1"/>
  <c r="K271" i="32"/>
  <c r="J268" i="32"/>
  <c r="S268" i="32" s="1"/>
  <c r="K268" i="32"/>
  <c r="J267" i="32"/>
  <c r="S267" i="32" s="1"/>
  <c r="K267" i="32"/>
  <c r="J264" i="32"/>
  <c r="S264" i="32" s="1"/>
  <c r="K264" i="32"/>
  <c r="J263" i="32"/>
  <c r="S263" i="32" s="1"/>
  <c r="K263" i="32"/>
  <c r="J260" i="32"/>
  <c r="S260" i="32" s="1"/>
  <c r="K260" i="32"/>
  <c r="J259" i="32"/>
  <c r="S259" i="32" s="1"/>
  <c r="K259" i="32"/>
  <c r="J256" i="32"/>
  <c r="S256" i="32" s="1"/>
  <c r="K256" i="32"/>
  <c r="J255" i="32"/>
  <c r="S255" i="32" s="1"/>
  <c r="K255" i="32"/>
  <c r="K192" i="32"/>
  <c r="J192" i="32"/>
  <c r="S192" i="32" s="1"/>
  <c r="K188" i="32"/>
  <c r="J188" i="32"/>
  <c r="S188" i="32" s="1"/>
  <c r="K185" i="32"/>
  <c r="J185" i="32"/>
  <c r="S185" i="32" s="1"/>
  <c r="K180" i="32"/>
  <c r="J180" i="32"/>
  <c r="S180" i="32" s="1"/>
  <c r="K177" i="32"/>
  <c r="J177" i="32"/>
  <c r="S177" i="32" s="1"/>
  <c r="Y170" i="32"/>
  <c r="Z318" i="33" s="1"/>
  <c r="W318" i="33"/>
  <c r="Y167" i="32"/>
  <c r="Z315" i="33" s="1"/>
  <c r="W315" i="33"/>
  <c r="Y162" i="32"/>
  <c r="Z310" i="33" s="1"/>
  <c r="W310" i="33"/>
  <c r="Y159" i="32"/>
  <c r="Z307" i="33" s="1"/>
  <c r="W307" i="33"/>
  <c r="Y154" i="32"/>
  <c r="Z302" i="33" s="1"/>
  <c r="W302" i="33"/>
  <c r="Y151" i="32"/>
  <c r="Z299" i="33" s="1"/>
  <c r="W299" i="33"/>
  <c r="Y146" i="32"/>
  <c r="Z294" i="33" s="1"/>
  <c r="W294" i="33"/>
  <c r="Y143" i="32"/>
  <c r="Z291" i="33" s="1"/>
  <c r="W291" i="33"/>
  <c r="Y138" i="32"/>
  <c r="Z286" i="33" s="1"/>
  <c r="W286" i="33"/>
  <c r="Y135" i="32"/>
  <c r="Z283" i="33" s="1"/>
  <c r="W283" i="33"/>
  <c r="Y131" i="32"/>
  <c r="Z279" i="33" s="1"/>
  <c r="W279" i="33"/>
  <c r="Y122" i="32"/>
  <c r="Z270" i="33" s="1"/>
  <c r="W270" i="33"/>
  <c r="Y119" i="32"/>
  <c r="Z267" i="33" s="1"/>
  <c r="W267" i="33"/>
  <c r="Y111" i="32"/>
  <c r="Z259" i="33" s="1"/>
  <c r="W259" i="33"/>
  <c r="Y93" i="32"/>
  <c r="Z241" i="33" s="1"/>
  <c r="W241" i="33"/>
  <c r="Y89" i="32"/>
  <c r="Z237" i="33" s="1"/>
  <c r="W237" i="33"/>
  <c r="Y85" i="32"/>
  <c r="Z233" i="33" s="1"/>
  <c r="W233" i="33"/>
  <c r="Y81" i="32"/>
  <c r="Z229" i="33" s="1"/>
  <c r="W229" i="33"/>
  <c r="Y77" i="32"/>
  <c r="Z225" i="33" s="1"/>
  <c r="W225" i="33"/>
  <c r="Y73" i="32"/>
  <c r="Z221" i="33" s="1"/>
  <c r="W221" i="33"/>
  <c r="Y69" i="32"/>
  <c r="Z217" i="33" s="1"/>
  <c r="W217" i="33"/>
  <c r="Y65" i="32"/>
  <c r="Z213" i="33" s="1"/>
  <c r="W213" i="33"/>
  <c r="Y61" i="32"/>
  <c r="Z209" i="33" s="1"/>
  <c r="W209" i="33"/>
  <c r="Y57" i="32"/>
  <c r="Z205" i="33" s="1"/>
  <c r="W205" i="33"/>
  <c r="Y53" i="32"/>
  <c r="Z201" i="33" s="1"/>
  <c r="W201" i="33"/>
  <c r="Y49" i="32"/>
  <c r="Z197" i="33" s="1"/>
  <c r="W197" i="33"/>
  <c r="Y45" i="32"/>
  <c r="Z193" i="33" s="1"/>
  <c r="W193" i="33"/>
  <c r="Y41" i="32"/>
  <c r="Z189" i="33" s="1"/>
  <c r="W189" i="33"/>
  <c r="Y102" i="32"/>
  <c r="Z250" i="33" s="1"/>
  <c r="W250" i="33"/>
  <c r="Y92" i="32"/>
  <c r="Z240" i="33" s="1"/>
  <c r="W240" i="33"/>
  <c r="Y88" i="32"/>
  <c r="Z236" i="33" s="1"/>
  <c r="W236" i="33"/>
  <c r="Y84" i="32"/>
  <c r="Z232" i="33" s="1"/>
  <c r="W232" i="33"/>
  <c r="Y80" i="32"/>
  <c r="Z228" i="33" s="1"/>
  <c r="W228" i="33"/>
  <c r="Y76" i="32"/>
  <c r="Z224" i="33" s="1"/>
  <c r="W224" i="33"/>
  <c r="Y70" i="32"/>
  <c r="Z218" i="33" s="1"/>
  <c r="W218" i="33"/>
  <c r="Y66" i="32"/>
  <c r="Z214" i="33" s="1"/>
  <c r="W214" i="33"/>
  <c r="Y60" i="32"/>
  <c r="Z208" i="33" s="1"/>
  <c r="W208" i="33"/>
  <c r="Y54" i="32"/>
  <c r="Z202" i="33" s="1"/>
  <c r="W202" i="33"/>
  <c r="Y50" i="32"/>
  <c r="Z198" i="33" s="1"/>
  <c r="W198" i="33"/>
  <c r="Y46" i="32"/>
  <c r="Z194" i="33" s="1"/>
  <c r="W194" i="33"/>
  <c r="Y40" i="32"/>
  <c r="Z188" i="33" s="1"/>
  <c r="W188" i="33"/>
  <c r="Y126" i="32"/>
  <c r="Z274" i="33" s="1"/>
  <c r="W274" i="33"/>
  <c r="Y123" i="32"/>
  <c r="Z271" i="33" s="1"/>
  <c r="W271" i="33"/>
  <c r="Y110" i="32"/>
  <c r="Z258" i="33" s="1"/>
  <c r="W258" i="33"/>
  <c r="Y107" i="32"/>
  <c r="Z255" i="33" s="1"/>
  <c r="W255" i="33"/>
  <c r="Y72" i="32"/>
  <c r="Z220" i="33" s="1"/>
  <c r="W220" i="33"/>
  <c r="Y58" i="32"/>
  <c r="Z206" i="33" s="1"/>
  <c r="W206" i="33"/>
  <c r="J301" i="32"/>
  <c r="S301" i="32" s="1"/>
  <c r="K301" i="32"/>
  <c r="J299" i="32"/>
  <c r="S299" i="32" s="1"/>
  <c r="K299" i="32"/>
  <c r="J297" i="32"/>
  <c r="S297" i="32" s="1"/>
  <c r="K297" i="32"/>
  <c r="J295" i="32"/>
  <c r="S295" i="32" s="1"/>
  <c r="K295" i="32"/>
  <c r="J293" i="32"/>
  <c r="S293" i="32" s="1"/>
  <c r="K293" i="32"/>
  <c r="J291" i="32"/>
  <c r="S291" i="32" s="1"/>
  <c r="K291" i="32"/>
  <c r="J289" i="32"/>
  <c r="S289" i="32" s="1"/>
  <c r="K289" i="32"/>
  <c r="J287" i="32"/>
  <c r="S287" i="32" s="1"/>
  <c r="K287" i="32"/>
  <c r="J285" i="32"/>
  <c r="S285" i="32" s="1"/>
  <c r="K285" i="32"/>
  <c r="J283" i="32"/>
  <c r="S283" i="32" s="1"/>
  <c r="K283" i="32"/>
  <c r="J281" i="32"/>
  <c r="S281" i="32" s="1"/>
  <c r="K281" i="32"/>
  <c r="J279" i="32"/>
  <c r="S279" i="32" s="1"/>
  <c r="K279" i="32"/>
  <c r="J277" i="32"/>
  <c r="S277" i="32" s="1"/>
  <c r="K277" i="32"/>
  <c r="J275" i="32"/>
  <c r="S275" i="32" s="1"/>
  <c r="K275" i="32"/>
  <c r="J273" i="32"/>
  <c r="S273" i="32" s="1"/>
  <c r="K273" i="32"/>
  <c r="J253" i="32"/>
  <c r="S253" i="32" s="1"/>
  <c r="K253" i="32"/>
  <c r="J251" i="32"/>
  <c r="S251" i="32" s="1"/>
  <c r="K251" i="32"/>
  <c r="J249" i="32"/>
  <c r="S249" i="32" s="1"/>
  <c r="K249" i="32"/>
  <c r="J247" i="32"/>
  <c r="S247" i="32" s="1"/>
  <c r="K247" i="32"/>
  <c r="J245" i="32"/>
  <c r="S245" i="32" s="1"/>
  <c r="K245" i="32"/>
  <c r="J243" i="32"/>
  <c r="S243" i="32" s="1"/>
  <c r="K243" i="32"/>
  <c r="J241" i="32"/>
  <c r="S241" i="32" s="1"/>
  <c r="K241" i="32"/>
  <c r="J239" i="32"/>
  <c r="S239" i="32" s="1"/>
  <c r="K239" i="32"/>
  <c r="J237" i="32"/>
  <c r="S237" i="32" s="1"/>
  <c r="K237" i="32"/>
  <c r="J235" i="32"/>
  <c r="S235" i="32" s="1"/>
  <c r="K235" i="32"/>
  <c r="J233" i="32"/>
  <c r="S233" i="32" s="1"/>
  <c r="K233" i="32"/>
  <c r="J231" i="32"/>
  <c r="S231" i="32" s="1"/>
  <c r="K231" i="32"/>
  <c r="J229" i="32"/>
  <c r="S229" i="32" s="1"/>
  <c r="K229" i="32"/>
  <c r="J227" i="32"/>
  <c r="S227" i="32" s="1"/>
  <c r="K227" i="32"/>
  <c r="J225" i="32"/>
  <c r="S225" i="32" s="1"/>
  <c r="K225" i="32"/>
  <c r="J223" i="32"/>
  <c r="S223" i="32" s="1"/>
  <c r="K223" i="32"/>
  <c r="J221" i="32"/>
  <c r="S221" i="32" s="1"/>
  <c r="K221" i="32"/>
  <c r="J219" i="32"/>
  <c r="S219" i="32" s="1"/>
  <c r="K219" i="32"/>
  <c r="J217" i="32"/>
  <c r="S217" i="32" s="1"/>
  <c r="K217" i="32"/>
  <c r="J215" i="32"/>
  <c r="S215" i="32" s="1"/>
  <c r="K215" i="32"/>
  <c r="J213" i="32"/>
  <c r="S213" i="32" s="1"/>
  <c r="K213" i="32"/>
  <c r="J211" i="32"/>
  <c r="S211" i="32" s="1"/>
  <c r="K211" i="32"/>
  <c r="K209" i="32"/>
  <c r="J209" i="32"/>
  <c r="S209" i="32" s="1"/>
  <c r="K207" i="32"/>
  <c r="J207" i="32"/>
  <c r="S207" i="32" s="1"/>
  <c r="K205" i="32"/>
  <c r="J205" i="32"/>
  <c r="S205" i="32" s="1"/>
  <c r="K203" i="32"/>
  <c r="J203" i="32"/>
  <c r="S203" i="32" s="1"/>
  <c r="K201" i="32"/>
  <c r="J201" i="32"/>
  <c r="S201" i="32" s="1"/>
  <c r="K199" i="32"/>
  <c r="J199" i="32"/>
  <c r="S199" i="32" s="1"/>
  <c r="K197" i="32"/>
  <c r="J197" i="32"/>
  <c r="S197" i="32" s="1"/>
  <c r="K181" i="32"/>
  <c r="J181" i="32"/>
  <c r="S181" i="32" s="1"/>
  <c r="K176" i="32"/>
  <c r="J176" i="32"/>
  <c r="S176" i="32" s="1"/>
  <c r="Y169" i="32"/>
  <c r="Z317" i="33" s="1"/>
  <c r="W317" i="33"/>
  <c r="Y165" i="32"/>
  <c r="Z313" i="33" s="1"/>
  <c r="W313" i="33"/>
  <c r="Y161" i="32"/>
  <c r="Z309" i="33" s="1"/>
  <c r="W309" i="33"/>
  <c r="Y157" i="32"/>
  <c r="Z305" i="33" s="1"/>
  <c r="W305" i="33"/>
  <c r="Y153" i="32"/>
  <c r="Z301" i="33" s="1"/>
  <c r="W301" i="33"/>
  <c r="Y149" i="32"/>
  <c r="Z297" i="33" s="1"/>
  <c r="W297" i="33"/>
  <c r="Y145" i="32"/>
  <c r="Z293" i="33" s="1"/>
  <c r="W293" i="33"/>
  <c r="Y141" i="32"/>
  <c r="Z289" i="33" s="1"/>
  <c r="W289" i="33"/>
  <c r="Y137" i="32"/>
  <c r="Z285" i="33" s="1"/>
  <c r="W285" i="33"/>
  <c r="Y133" i="32"/>
  <c r="Z281" i="33" s="1"/>
  <c r="W281" i="33"/>
  <c r="Y129" i="32"/>
  <c r="Z277" i="33" s="1"/>
  <c r="W277" i="33"/>
  <c r="Y125" i="32"/>
  <c r="Z273" i="33" s="1"/>
  <c r="W273" i="33"/>
  <c r="Y121" i="32"/>
  <c r="Z269" i="33" s="1"/>
  <c r="W269" i="33"/>
  <c r="Y117" i="32"/>
  <c r="Z265" i="33" s="1"/>
  <c r="W265" i="33"/>
  <c r="Y113" i="32"/>
  <c r="Z261" i="33" s="1"/>
  <c r="W261" i="33"/>
  <c r="Y109" i="32"/>
  <c r="Z257" i="33" s="1"/>
  <c r="W257" i="33"/>
  <c r="Y105" i="32"/>
  <c r="Z253" i="33" s="1"/>
  <c r="W253" i="33"/>
  <c r="Y101" i="32"/>
  <c r="Z249" i="33" s="1"/>
  <c r="W249" i="33"/>
  <c r="K193" i="32"/>
  <c r="J193" i="32"/>
  <c r="S193" i="32" s="1"/>
  <c r="K189" i="32"/>
  <c r="J189" i="32"/>
  <c r="S189" i="32" s="1"/>
  <c r="K184" i="32"/>
  <c r="J184" i="32"/>
  <c r="S184" i="32" s="1"/>
  <c r="J252" i="32"/>
  <c r="S252" i="32" s="1"/>
  <c r="K252" i="32"/>
  <c r="J248" i="32"/>
  <c r="S248" i="32" s="1"/>
  <c r="K248" i="32"/>
  <c r="J244" i="32"/>
  <c r="S244" i="32" s="1"/>
  <c r="K244" i="32"/>
  <c r="J240" i="32"/>
  <c r="S240" i="32" s="1"/>
  <c r="K240" i="32"/>
  <c r="J236" i="32"/>
  <c r="S236" i="32" s="1"/>
  <c r="K236" i="32"/>
  <c r="J232" i="32"/>
  <c r="S232" i="32" s="1"/>
  <c r="K232" i="32"/>
  <c r="J228" i="32"/>
  <c r="S228" i="32" s="1"/>
  <c r="K228" i="32"/>
  <c r="J224" i="32"/>
  <c r="S224" i="32" s="1"/>
  <c r="K224" i="32"/>
  <c r="J220" i="32"/>
  <c r="S220" i="32" s="1"/>
  <c r="K220" i="32"/>
  <c r="J216" i="32"/>
  <c r="S216" i="32" s="1"/>
  <c r="K216" i="32"/>
  <c r="J212" i="32"/>
  <c r="S212" i="32" s="1"/>
  <c r="K212" i="32"/>
  <c r="K208" i="32"/>
  <c r="J208" i="32"/>
  <c r="S208" i="32" s="1"/>
  <c r="K204" i="32"/>
  <c r="J204" i="32"/>
  <c r="S204" i="32" s="1"/>
  <c r="K200" i="32"/>
  <c r="J200" i="32"/>
  <c r="K196" i="32"/>
  <c r="J196" i="32"/>
  <c r="S196" i="32" s="1"/>
  <c r="R181" i="33"/>
  <c r="K33" i="32"/>
  <c r="J33" i="32"/>
  <c r="S33" i="32" s="1"/>
  <c r="R180" i="33"/>
  <c r="K32" i="32"/>
  <c r="J32" i="32"/>
  <c r="S32" i="32" s="1"/>
  <c r="R174" i="33"/>
  <c r="K26" i="32"/>
  <c r="J26" i="32"/>
  <c r="S26" i="32" s="1"/>
  <c r="R317" i="33"/>
  <c r="K169" i="32"/>
  <c r="J169" i="32"/>
  <c r="S169" i="32" s="1"/>
  <c r="R316" i="33"/>
  <c r="K168" i="32"/>
  <c r="J168" i="32"/>
  <c r="S168" i="32" s="1"/>
  <c r="R314" i="33"/>
  <c r="K166" i="32"/>
  <c r="J166" i="32"/>
  <c r="S166" i="32" s="1"/>
  <c r="R313" i="33"/>
  <c r="K165" i="32"/>
  <c r="J165" i="32"/>
  <c r="S165" i="32" s="1"/>
  <c r="R311" i="33"/>
  <c r="K163" i="32"/>
  <c r="J163" i="32"/>
  <c r="S163" i="32" s="1"/>
  <c r="R310" i="33"/>
  <c r="K162" i="32"/>
  <c r="J162" i="32"/>
  <c r="S162" i="32" s="1"/>
  <c r="R308" i="33"/>
  <c r="K160" i="32"/>
  <c r="J160" i="32"/>
  <c r="S160" i="32" s="1"/>
  <c r="R307" i="33"/>
  <c r="K159" i="32"/>
  <c r="J159" i="32"/>
  <c r="S159" i="32" s="1"/>
  <c r="R306" i="33"/>
  <c r="K158" i="32"/>
  <c r="J158" i="32"/>
  <c r="S158" i="32" s="1"/>
  <c r="R305" i="33"/>
  <c r="K157" i="32"/>
  <c r="J157" i="32"/>
  <c r="S157" i="32" s="1"/>
  <c r="R303" i="33"/>
  <c r="K155" i="32"/>
  <c r="J155" i="32"/>
  <c r="S155" i="32" s="1"/>
  <c r="R302" i="33"/>
  <c r="K154" i="32"/>
  <c r="J154" i="32"/>
  <c r="S154" i="32" s="1"/>
  <c r="R301" i="33"/>
  <c r="K153" i="32"/>
  <c r="J153" i="32"/>
  <c r="S153" i="32" s="1"/>
  <c r="R297" i="33"/>
  <c r="K149" i="32"/>
  <c r="J149" i="32"/>
  <c r="S149" i="32" s="1"/>
  <c r="R292" i="33"/>
  <c r="K144" i="32"/>
  <c r="J144" i="32"/>
  <c r="S144" i="32" s="1"/>
  <c r="R285" i="33"/>
  <c r="K137" i="32"/>
  <c r="J137" i="32"/>
  <c r="S137" i="32" s="1"/>
  <c r="R282" i="33"/>
  <c r="K134" i="32"/>
  <c r="J134" i="32"/>
  <c r="S134" i="32" s="1"/>
  <c r="R281" i="33"/>
  <c r="K133" i="32"/>
  <c r="J133" i="32"/>
  <c r="S133" i="32" s="1"/>
  <c r="R277" i="33"/>
  <c r="K129" i="32"/>
  <c r="J129" i="32"/>
  <c r="S129" i="32" s="1"/>
  <c r="R276" i="33"/>
  <c r="K128" i="32"/>
  <c r="J128" i="32"/>
  <c r="S128" i="32" s="1"/>
  <c r="R275" i="33"/>
  <c r="K127" i="32"/>
  <c r="J127" i="32"/>
  <c r="S127" i="32" s="1"/>
  <c r="R274" i="33"/>
  <c r="K126" i="32"/>
  <c r="J126" i="32"/>
  <c r="S126" i="32" s="1"/>
  <c r="R273" i="33"/>
  <c r="K125" i="32"/>
  <c r="J125" i="32"/>
  <c r="S125" i="32" s="1"/>
  <c r="R272" i="33"/>
  <c r="K124" i="32"/>
  <c r="J124" i="32"/>
  <c r="S124" i="32" s="1"/>
  <c r="R271" i="33"/>
  <c r="K123" i="32"/>
  <c r="J123" i="32"/>
  <c r="S123" i="32" s="1"/>
  <c r="R270" i="33"/>
  <c r="K122" i="32"/>
  <c r="J122" i="32"/>
  <c r="S122" i="32" s="1"/>
  <c r="R269" i="33"/>
  <c r="K121" i="32"/>
  <c r="J121" i="32"/>
  <c r="S121" i="32" s="1"/>
  <c r="R268" i="33"/>
  <c r="K120" i="32"/>
  <c r="J120" i="32"/>
  <c r="S120" i="32" s="1"/>
  <c r="R267" i="33"/>
  <c r="K119" i="32"/>
  <c r="J119" i="32"/>
  <c r="S119" i="32" s="1"/>
  <c r="R266" i="33"/>
  <c r="K118" i="32"/>
  <c r="J118" i="32"/>
  <c r="S118" i="32" s="1"/>
  <c r="R265" i="33"/>
  <c r="K117" i="32"/>
  <c r="J117" i="32"/>
  <c r="S117" i="32" s="1"/>
  <c r="R264" i="33"/>
  <c r="K116" i="32"/>
  <c r="J116" i="32"/>
  <c r="S116" i="32" s="1"/>
  <c r="R263" i="33"/>
  <c r="K115" i="32"/>
  <c r="J115" i="32"/>
  <c r="S115" i="32" s="1"/>
  <c r="R262" i="33"/>
  <c r="K114" i="32"/>
  <c r="J114" i="32"/>
  <c r="S114" i="32" s="1"/>
  <c r="R261" i="33"/>
  <c r="K113" i="32"/>
  <c r="J113" i="32"/>
  <c r="S113" i="32" s="1"/>
  <c r="R260" i="33"/>
  <c r="K112" i="32"/>
  <c r="J112" i="32"/>
  <c r="S112" i="32" s="1"/>
  <c r="R259" i="33"/>
  <c r="K111" i="32"/>
  <c r="J111" i="32"/>
  <c r="S111" i="32" s="1"/>
  <c r="R258" i="33"/>
  <c r="K110" i="32"/>
  <c r="J110" i="32"/>
  <c r="S110" i="32" s="1"/>
  <c r="R257" i="33"/>
  <c r="K109" i="32"/>
  <c r="J109" i="32"/>
  <c r="S109" i="32" s="1"/>
  <c r="R256" i="33"/>
  <c r="K108" i="32"/>
  <c r="J108" i="32"/>
  <c r="S108" i="32" s="1"/>
  <c r="R255" i="33"/>
  <c r="K107" i="32"/>
  <c r="J107" i="32"/>
  <c r="S107" i="32" s="1"/>
  <c r="R254" i="33"/>
  <c r="K106" i="32"/>
  <c r="J106" i="32"/>
  <c r="S106" i="32" s="1"/>
  <c r="R253" i="33"/>
  <c r="K105" i="32"/>
  <c r="J105" i="32"/>
  <c r="S105" i="32" s="1"/>
  <c r="R252" i="33"/>
  <c r="K104" i="32"/>
  <c r="J104" i="32"/>
  <c r="S104" i="32" s="1"/>
  <c r="R251" i="33"/>
  <c r="K103" i="32"/>
  <c r="J103" i="32"/>
  <c r="S103" i="32" s="1"/>
  <c r="R250" i="33"/>
  <c r="K102" i="32"/>
  <c r="J102" i="32"/>
  <c r="S102" i="32" s="1"/>
  <c r="R249" i="33"/>
  <c r="K101" i="32"/>
  <c r="J101" i="32"/>
  <c r="S101" i="32" s="1"/>
  <c r="R248" i="33"/>
  <c r="K100" i="32"/>
  <c r="J100" i="32"/>
  <c r="S100" i="32" s="1"/>
  <c r="R247" i="33"/>
  <c r="K99" i="32"/>
  <c r="J99" i="32"/>
  <c r="S99" i="32" s="1"/>
  <c r="R246" i="33"/>
  <c r="K98" i="32"/>
  <c r="J98" i="32"/>
  <c r="S98" i="32" s="1"/>
  <c r="R244" i="33"/>
  <c r="K96" i="32"/>
  <c r="J96" i="32"/>
  <c r="S96" i="32" s="1"/>
  <c r="R242" i="33"/>
  <c r="K94" i="32"/>
  <c r="J94" i="32"/>
  <c r="S94" i="32" s="1"/>
  <c r="R241" i="33"/>
  <c r="K93" i="32"/>
  <c r="J93" i="32"/>
  <c r="S93" i="32" s="1"/>
  <c r="R240" i="33"/>
  <c r="K92" i="32"/>
  <c r="J92" i="32"/>
  <c r="S92" i="32" s="1"/>
  <c r="R239" i="33"/>
  <c r="K91" i="32"/>
  <c r="J91" i="32"/>
  <c r="S91" i="32" s="1"/>
  <c r="R238" i="33"/>
  <c r="K90" i="32"/>
  <c r="J90" i="32"/>
  <c r="S90" i="32" s="1"/>
  <c r="R237" i="33"/>
  <c r="K89" i="32"/>
  <c r="J89" i="32"/>
  <c r="S89" i="32" s="1"/>
  <c r="R236" i="33"/>
  <c r="K88" i="32"/>
  <c r="J88" i="32"/>
  <c r="S88" i="32" s="1"/>
  <c r="R235" i="33"/>
  <c r="K87" i="32"/>
  <c r="J87" i="32"/>
  <c r="S87" i="32" s="1"/>
  <c r="R234" i="33"/>
  <c r="K86" i="32"/>
  <c r="J86" i="32"/>
  <c r="S86" i="32" s="1"/>
  <c r="R233" i="33"/>
  <c r="K85" i="32"/>
  <c r="J85" i="32"/>
  <c r="S85" i="32" s="1"/>
  <c r="R232" i="33"/>
  <c r="K84" i="32"/>
  <c r="J84" i="32"/>
  <c r="S84" i="32" s="1"/>
  <c r="R231" i="33"/>
  <c r="K83" i="32"/>
  <c r="J83" i="32"/>
  <c r="S83" i="32" s="1"/>
  <c r="R230" i="33"/>
  <c r="K82" i="32"/>
  <c r="J82" i="32"/>
  <c r="S82" i="32" s="1"/>
  <c r="R229" i="33"/>
  <c r="K81" i="32"/>
  <c r="J81" i="32"/>
  <c r="S81" i="32" s="1"/>
  <c r="R228" i="33"/>
  <c r="K80" i="32"/>
  <c r="J80" i="32"/>
  <c r="S80" i="32" s="1"/>
  <c r="R226" i="33"/>
  <c r="K78" i="32"/>
  <c r="J78" i="32"/>
  <c r="S78" i="32" s="1"/>
  <c r="R225" i="33"/>
  <c r="K77" i="32"/>
  <c r="J77" i="32"/>
  <c r="S77" i="32" s="1"/>
  <c r="R223" i="33"/>
  <c r="K75" i="32"/>
  <c r="J75" i="32"/>
  <c r="S75" i="32" s="1"/>
  <c r="R222" i="33"/>
  <c r="K74" i="32"/>
  <c r="J74" i="32"/>
  <c r="S74" i="32" s="1"/>
  <c r="R215" i="33"/>
  <c r="K67" i="32"/>
  <c r="J67" i="32"/>
  <c r="S67" i="32" s="1"/>
  <c r="R214" i="33"/>
  <c r="K66" i="32"/>
  <c r="J66" i="32"/>
  <c r="S66" i="32" s="1"/>
  <c r="R212" i="33"/>
  <c r="K64" i="32"/>
  <c r="J64" i="32"/>
  <c r="S64" i="32" s="1"/>
  <c r="R211" i="33"/>
  <c r="K63" i="32"/>
  <c r="J63" i="32"/>
  <c r="S63" i="32" s="1"/>
  <c r="R208" i="33"/>
  <c r="K60" i="32"/>
  <c r="J60" i="32"/>
  <c r="S60" i="32" s="1"/>
  <c r="R207" i="33"/>
  <c r="K59" i="32"/>
  <c r="J59" i="32"/>
  <c r="S59" i="32" s="1"/>
  <c r="R205" i="33"/>
  <c r="K57" i="32"/>
  <c r="J57" i="32"/>
  <c r="S57" i="32" s="1"/>
  <c r="R204" i="33"/>
  <c r="K56" i="32"/>
  <c r="J56" i="32"/>
  <c r="S56" i="32" s="1"/>
  <c r="R202" i="33"/>
  <c r="K54" i="32"/>
  <c r="J54" i="32"/>
  <c r="S54" i="32" s="1"/>
  <c r="R201" i="33"/>
  <c r="K53" i="32"/>
  <c r="J53" i="32"/>
  <c r="S53" i="32" s="1"/>
  <c r="R200" i="33"/>
  <c r="K52" i="32"/>
  <c r="J52" i="32"/>
  <c r="S52" i="32" s="1"/>
  <c r="R199" i="33"/>
  <c r="K51" i="32"/>
  <c r="J51" i="32"/>
  <c r="S51" i="32" s="1"/>
  <c r="R198" i="33"/>
  <c r="K50" i="32"/>
  <c r="J50" i="32"/>
  <c r="S50" i="32" s="1"/>
  <c r="R197" i="33"/>
  <c r="K49" i="32"/>
  <c r="J49" i="32"/>
  <c r="S49" i="32" s="1"/>
  <c r="R195" i="33"/>
  <c r="K47" i="32"/>
  <c r="J47" i="32"/>
  <c r="S47" i="32" s="1"/>
  <c r="R194" i="33"/>
  <c r="K46" i="32"/>
  <c r="J46" i="32"/>
  <c r="S46" i="32" s="1"/>
  <c r="R192" i="33"/>
  <c r="K44" i="32"/>
  <c r="J44" i="32"/>
  <c r="S44" i="32" s="1"/>
  <c r="R191" i="33"/>
  <c r="K43" i="32"/>
  <c r="J43" i="32"/>
  <c r="S43" i="32" s="1"/>
  <c r="R187" i="33"/>
  <c r="K39" i="32"/>
  <c r="J39" i="32"/>
  <c r="S39" i="32" s="1"/>
  <c r="R186" i="33"/>
  <c r="K38" i="32"/>
  <c r="J38" i="32"/>
  <c r="S38" i="32" s="1"/>
  <c r="R179" i="33"/>
  <c r="K31" i="32"/>
  <c r="J31" i="32"/>
  <c r="S31" i="32" s="1"/>
  <c r="R178" i="33"/>
  <c r="K30" i="32"/>
  <c r="J30" i="32"/>
  <c r="S30" i="32" s="1"/>
  <c r="R176" i="33"/>
  <c r="R175" i="33"/>
  <c r="K27" i="32"/>
  <c r="J27" i="32"/>
  <c r="S27" i="32" s="1"/>
  <c r="R173" i="33"/>
  <c r="R171" i="33"/>
  <c r="J322" i="32"/>
  <c r="S322" i="32" s="1"/>
  <c r="K322" i="32"/>
  <c r="J319" i="32"/>
  <c r="S319" i="32" s="1"/>
  <c r="K319" i="32"/>
  <c r="J318" i="32"/>
  <c r="S318" i="32" s="1"/>
  <c r="K318" i="32"/>
  <c r="J315" i="32"/>
  <c r="S315" i="32" s="1"/>
  <c r="K315" i="32"/>
  <c r="J314" i="32"/>
  <c r="S314" i="32" s="1"/>
  <c r="K314" i="32"/>
  <c r="J311" i="32"/>
  <c r="S311" i="32" s="1"/>
  <c r="K311" i="32"/>
  <c r="J310" i="32"/>
  <c r="S310" i="32" s="1"/>
  <c r="K310" i="32"/>
  <c r="J307" i="32"/>
  <c r="S307" i="32" s="1"/>
  <c r="K307" i="32"/>
  <c r="J306" i="32"/>
  <c r="S306" i="32" s="1"/>
  <c r="K306" i="32"/>
  <c r="J303" i="32"/>
  <c r="S303" i="32" s="1"/>
  <c r="K303" i="32"/>
  <c r="J302" i="32"/>
  <c r="S302" i="32" s="1"/>
  <c r="K302" i="32"/>
  <c r="J298" i="32"/>
  <c r="S298" i="32" s="1"/>
  <c r="K298" i="32"/>
  <c r="J294" i="32"/>
  <c r="S294" i="32" s="1"/>
  <c r="K294" i="32"/>
  <c r="J290" i="32"/>
  <c r="S290" i="32" s="1"/>
  <c r="K290" i="32"/>
  <c r="J286" i="32"/>
  <c r="S286" i="32" s="1"/>
  <c r="K286" i="32"/>
  <c r="J282" i="32"/>
  <c r="S282" i="32" s="1"/>
  <c r="K282" i="32"/>
  <c r="J278" i="32"/>
  <c r="S278" i="32" s="1"/>
  <c r="K278" i="32"/>
  <c r="J274" i="32"/>
  <c r="S274" i="32" s="1"/>
  <c r="K274" i="32"/>
  <c r="J270" i="32"/>
  <c r="S270" i="32" s="1"/>
  <c r="K270" i="32"/>
  <c r="J269" i="32"/>
  <c r="S269" i="32" s="1"/>
  <c r="K269" i="32"/>
  <c r="J266" i="32"/>
  <c r="S266" i="32" s="1"/>
  <c r="K266" i="32"/>
  <c r="J265" i="32"/>
  <c r="S265" i="32" s="1"/>
  <c r="K265" i="32"/>
  <c r="J262" i="32"/>
  <c r="S262" i="32" s="1"/>
  <c r="K262" i="32"/>
  <c r="J261" i="32"/>
  <c r="S261" i="32" s="1"/>
  <c r="K261" i="32"/>
  <c r="J258" i="32"/>
  <c r="S258" i="32" s="1"/>
  <c r="K258" i="32"/>
  <c r="J257" i="32"/>
  <c r="S257" i="32" s="1"/>
  <c r="K257" i="32"/>
  <c r="K195" i="32"/>
  <c r="J195" i="32"/>
  <c r="S195" i="32" s="1"/>
  <c r="K190" i="32"/>
  <c r="J190" i="32"/>
  <c r="S190" i="32" s="1"/>
  <c r="K186" i="32"/>
  <c r="J186" i="32"/>
  <c r="S186" i="32" s="1"/>
  <c r="K183" i="32"/>
  <c r="J183" i="32"/>
  <c r="S183" i="32" s="1"/>
  <c r="K179" i="32"/>
  <c r="J179" i="32"/>
  <c r="S179" i="32" s="1"/>
  <c r="K175" i="32"/>
  <c r="J175" i="32"/>
  <c r="S175" i="32" s="1"/>
  <c r="Y166" i="32"/>
  <c r="Z314" i="33" s="1"/>
  <c r="W314" i="33"/>
  <c r="Y163" i="32"/>
  <c r="Z311" i="33" s="1"/>
  <c r="W311" i="33"/>
  <c r="Y158" i="32"/>
  <c r="Z306" i="33" s="1"/>
  <c r="W306" i="33"/>
  <c r="Y155" i="32"/>
  <c r="Z303" i="33" s="1"/>
  <c r="W303" i="33"/>
  <c r="Y150" i="32"/>
  <c r="Z298" i="33" s="1"/>
  <c r="W298" i="33"/>
  <c r="Y147" i="32"/>
  <c r="Z295" i="33" s="1"/>
  <c r="W295" i="33"/>
  <c r="Y142" i="32"/>
  <c r="Z290" i="33" s="1"/>
  <c r="W290" i="33"/>
  <c r="Y139" i="32"/>
  <c r="Z287" i="33" s="1"/>
  <c r="W287" i="33"/>
  <c r="Y134" i="32"/>
  <c r="Z282" i="33" s="1"/>
  <c r="W282" i="33"/>
  <c r="Y130" i="32"/>
  <c r="Z278" i="33" s="1"/>
  <c r="W278" i="33"/>
  <c r="Y127" i="32"/>
  <c r="Z275" i="33" s="1"/>
  <c r="W275" i="33"/>
  <c r="Y114" i="32"/>
  <c r="Z262" i="33" s="1"/>
  <c r="W262" i="33"/>
  <c r="Y106" i="32"/>
  <c r="Z254" i="33" s="1"/>
  <c r="W254" i="33"/>
  <c r="Y103" i="32"/>
  <c r="Z251" i="33" s="1"/>
  <c r="W251" i="33"/>
  <c r="Y91" i="32"/>
  <c r="Z239" i="33" s="1"/>
  <c r="W239" i="33"/>
  <c r="Y87" i="32"/>
  <c r="Z235" i="33" s="1"/>
  <c r="W235" i="33"/>
  <c r="Y83" i="32"/>
  <c r="Z231" i="33" s="1"/>
  <c r="W231" i="33"/>
  <c r="Y79" i="32"/>
  <c r="Z227" i="33" s="1"/>
  <c r="W227" i="33"/>
  <c r="Y75" i="32"/>
  <c r="Z223" i="33" s="1"/>
  <c r="W223" i="33"/>
  <c r="Y71" i="32"/>
  <c r="Z219" i="33" s="1"/>
  <c r="W219" i="33"/>
  <c r="Y67" i="32"/>
  <c r="Z215" i="33" s="1"/>
  <c r="W215" i="33"/>
  <c r="Y63" i="32"/>
  <c r="Z211" i="33" s="1"/>
  <c r="W211" i="33"/>
  <c r="Y59" i="32"/>
  <c r="Z207" i="33" s="1"/>
  <c r="W207" i="33"/>
  <c r="Y55" i="32"/>
  <c r="Z203" i="33" s="1"/>
  <c r="W203" i="33"/>
  <c r="Y51" i="32"/>
  <c r="Z199" i="33" s="1"/>
  <c r="W199" i="33"/>
  <c r="Y47" i="32"/>
  <c r="Z195" i="33" s="1"/>
  <c r="W195" i="33"/>
  <c r="Y43" i="32"/>
  <c r="Z191" i="33" s="1"/>
  <c r="W191" i="33"/>
  <c r="Y39" i="32"/>
  <c r="Z187" i="33" s="1"/>
  <c r="W187" i="33"/>
  <c r="Y99" i="32"/>
  <c r="Z247" i="33" s="1"/>
  <c r="W247" i="33"/>
  <c r="Y90" i="32"/>
  <c r="Z238" i="33" s="1"/>
  <c r="W238" i="33"/>
  <c r="Y86" i="32"/>
  <c r="Z234" i="33" s="1"/>
  <c r="W234" i="33"/>
  <c r="Y82" i="32"/>
  <c r="Z230" i="33" s="1"/>
  <c r="W230" i="33"/>
  <c r="Y78" i="32"/>
  <c r="Z226" i="33" s="1"/>
  <c r="W226" i="33"/>
  <c r="Y74" i="32"/>
  <c r="Z222" i="33" s="1"/>
  <c r="W222" i="33"/>
  <c r="Y68" i="32"/>
  <c r="Z216" i="33" s="1"/>
  <c r="W216" i="33"/>
  <c r="Y62" i="32"/>
  <c r="Z210" i="33" s="1"/>
  <c r="W210" i="33"/>
  <c r="Y56" i="32"/>
  <c r="Z204" i="33" s="1"/>
  <c r="W204" i="33"/>
  <c r="Y52" i="32"/>
  <c r="Z200" i="33" s="1"/>
  <c r="W200" i="33"/>
  <c r="Y48" i="32"/>
  <c r="Z196" i="33" s="1"/>
  <c r="W196" i="33"/>
  <c r="Y42" i="32"/>
  <c r="Z190" i="33" s="1"/>
  <c r="W190" i="33"/>
  <c r="Y38" i="32"/>
  <c r="Z186" i="33" s="1"/>
  <c r="W186" i="33"/>
  <c r="Y118" i="32"/>
  <c r="Z266" i="33" s="1"/>
  <c r="W266" i="33"/>
  <c r="Y115" i="32"/>
  <c r="Z263" i="33" s="1"/>
  <c r="W263" i="33"/>
  <c r="Y64" i="32"/>
  <c r="Z212" i="33" s="1"/>
  <c r="W212" i="33"/>
  <c r="Y44" i="32"/>
  <c r="Z192" i="33" s="1"/>
  <c r="W192" i="33"/>
  <c r="K194" i="32"/>
  <c r="J194" i="32"/>
  <c r="S194" i="32" s="1"/>
  <c r="K178" i="32"/>
  <c r="J178" i="32"/>
  <c r="S178" i="32" s="1"/>
  <c r="K174" i="32"/>
  <c r="J174" i="32"/>
  <c r="S174" i="32" s="1"/>
  <c r="Y168" i="32"/>
  <c r="Z316" i="33" s="1"/>
  <c r="W316" i="33"/>
  <c r="Y164" i="32"/>
  <c r="Z312" i="33" s="1"/>
  <c r="W312" i="33"/>
  <c r="Y160" i="32"/>
  <c r="Z308" i="33" s="1"/>
  <c r="W308" i="33"/>
  <c r="Y156" i="32"/>
  <c r="Z304" i="33" s="1"/>
  <c r="W304" i="33"/>
  <c r="Y152" i="32"/>
  <c r="Z300" i="33" s="1"/>
  <c r="W300" i="33"/>
  <c r="Y148" i="32"/>
  <c r="Z296" i="33" s="1"/>
  <c r="W296" i="33"/>
  <c r="Y144" i="32"/>
  <c r="Z292" i="33" s="1"/>
  <c r="W292" i="33"/>
  <c r="Y140" i="32"/>
  <c r="Z288" i="33" s="1"/>
  <c r="W288" i="33"/>
  <c r="Y136" i="32"/>
  <c r="Z284" i="33" s="1"/>
  <c r="W284" i="33"/>
  <c r="Y132" i="32"/>
  <c r="Z280" i="33" s="1"/>
  <c r="W280" i="33"/>
  <c r="Y128" i="32"/>
  <c r="Z276" i="33" s="1"/>
  <c r="W276" i="33"/>
  <c r="Y124" i="32"/>
  <c r="Z272" i="33" s="1"/>
  <c r="W272" i="33"/>
  <c r="Y120" i="32"/>
  <c r="Z268" i="33" s="1"/>
  <c r="W268" i="33"/>
  <c r="Y116" i="32"/>
  <c r="Z264" i="33" s="1"/>
  <c r="W264" i="33"/>
  <c r="Y112" i="32"/>
  <c r="Z260" i="33" s="1"/>
  <c r="W260" i="33"/>
  <c r="Y108" i="32"/>
  <c r="Z256" i="33" s="1"/>
  <c r="W256" i="33"/>
  <c r="Y104" i="32"/>
  <c r="Z252" i="33" s="1"/>
  <c r="W252" i="33"/>
  <c r="Y100" i="32"/>
  <c r="Z248" i="33" s="1"/>
  <c r="W248" i="33"/>
  <c r="K191" i="32"/>
  <c r="J191" i="32"/>
  <c r="S191" i="32" s="1"/>
  <c r="K187" i="32"/>
  <c r="J187" i="32"/>
  <c r="S187" i="32" s="1"/>
  <c r="K182" i="32"/>
  <c r="J182" i="32"/>
  <c r="S182" i="32" s="1"/>
  <c r="J254" i="32"/>
  <c r="S254" i="32" s="1"/>
  <c r="K254" i="32"/>
  <c r="J250" i="32"/>
  <c r="S250" i="32" s="1"/>
  <c r="K250" i="32"/>
  <c r="J246" i="32"/>
  <c r="S246" i="32" s="1"/>
  <c r="K246" i="32"/>
  <c r="J242" i="32"/>
  <c r="S242" i="32" s="1"/>
  <c r="K242" i="32"/>
  <c r="J238" i="32"/>
  <c r="S238" i="32" s="1"/>
  <c r="K238" i="32"/>
  <c r="J234" i="32"/>
  <c r="S234" i="32" s="1"/>
  <c r="K234" i="32"/>
  <c r="J230" i="32"/>
  <c r="S230" i="32" s="1"/>
  <c r="K230" i="32"/>
  <c r="J226" i="32"/>
  <c r="S226" i="32" s="1"/>
  <c r="K226" i="32"/>
  <c r="J222" i="32"/>
  <c r="S222" i="32" s="1"/>
  <c r="K222" i="32"/>
  <c r="J218" i="32"/>
  <c r="S218" i="32" s="1"/>
  <c r="K218" i="32"/>
  <c r="J214" i="32"/>
  <c r="S214" i="32" s="1"/>
  <c r="K214" i="32"/>
  <c r="J210" i="32"/>
  <c r="S210" i="32" s="1"/>
  <c r="K210" i="32"/>
  <c r="K206" i="32"/>
  <c r="J206" i="32"/>
  <c r="S206" i="32" s="1"/>
  <c r="K202" i="32"/>
  <c r="J202" i="32"/>
  <c r="S202" i="32" s="1"/>
  <c r="K198" i="32"/>
  <c r="J198" i="32"/>
  <c r="S198" i="32" s="1"/>
  <c r="K173" i="32"/>
  <c r="K319" i="33" s="1"/>
  <c r="J173" i="32"/>
  <c r="S173" i="32" s="1"/>
  <c r="R319" i="33"/>
  <c r="K171" i="32"/>
  <c r="J171" i="32"/>
  <c r="S171" i="32" s="1"/>
  <c r="R318" i="33"/>
  <c r="K170" i="32"/>
  <c r="J170" i="32"/>
  <c r="S170" i="32" s="1"/>
  <c r="R315" i="33"/>
  <c r="K167" i="32"/>
  <c r="J167" i="32"/>
  <c r="S167" i="32" s="1"/>
  <c r="R312" i="33"/>
  <c r="K164" i="32"/>
  <c r="J164" i="32"/>
  <c r="S164" i="32" s="1"/>
  <c r="R309" i="33"/>
  <c r="K161" i="32"/>
  <c r="J161" i="32"/>
  <c r="S161" i="32" s="1"/>
  <c r="R304" i="33"/>
  <c r="K156" i="32"/>
  <c r="J156" i="32"/>
  <c r="S156" i="32" s="1"/>
  <c r="R300" i="33"/>
  <c r="K152" i="32"/>
  <c r="J152" i="32"/>
  <c r="S152" i="32" s="1"/>
  <c r="R299" i="33"/>
  <c r="K151" i="32"/>
  <c r="J151" i="32"/>
  <c r="S151" i="32" s="1"/>
  <c r="R298" i="33"/>
  <c r="K150" i="32"/>
  <c r="J150" i="32"/>
  <c r="S150" i="32" s="1"/>
  <c r="R296" i="33"/>
  <c r="K148" i="32"/>
  <c r="J148" i="32"/>
  <c r="S148" i="32" s="1"/>
  <c r="R295" i="33"/>
  <c r="K147" i="32"/>
  <c r="J147" i="32"/>
  <c r="S147" i="32" s="1"/>
  <c r="R294" i="33"/>
  <c r="K146" i="32"/>
  <c r="J146" i="32"/>
  <c r="S146" i="32" s="1"/>
  <c r="R293" i="33"/>
  <c r="K145" i="32"/>
  <c r="J145" i="32"/>
  <c r="S145" i="32" s="1"/>
  <c r="R291" i="33"/>
  <c r="K143" i="32"/>
  <c r="J143" i="32"/>
  <c r="S143" i="32" s="1"/>
  <c r="R290" i="33"/>
  <c r="K142" i="32"/>
  <c r="J142" i="32"/>
  <c r="S142" i="32" s="1"/>
  <c r="R289" i="33"/>
  <c r="K141" i="32"/>
  <c r="J141" i="32"/>
  <c r="S141" i="32" s="1"/>
  <c r="R288" i="33"/>
  <c r="K140" i="32"/>
  <c r="J140" i="32"/>
  <c r="S140" i="32" s="1"/>
  <c r="R287" i="33"/>
  <c r="K139" i="32"/>
  <c r="J139" i="32"/>
  <c r="S139" i="32" s="1"/>
  <c r="R286" i="33"/>
  <c r="K138" i="32"/>
  <c r="J138" i="32"/>
  <c r="S138" i="32" s="1"/>
  <c r="R284" i="33"/>
  <c r="K136" i="32"/>
  <c r="J136" i="32"/>
  <c r="S136" i="32" s="1"/>
  <c r="R283" i="33"/>
  <c r="K135" i="32"/>
  <c r="J135" i="32"/>
  <c r="S135" i="32" s="1"/>
  <c r="R280" i="33"/>
  <c r="K132" i="32"/>
  <c r="J132" i="32"/>
  <c r="S132" i="32" s="1"/>
  <c r="R279" i="33"/>
  <c r="K131" i="32"/>
  <c r="J131" i="32"/>
  <c r="S131" i="32" s="1"/>
  <c r="R278" i="33"/>
  <c r="K130" i="32"/>
  <c r="J130" i="32"/>
  <c r="S130" i="32" s="1"/>
  <c r="R227" i="33"/>
  <c r="K79" i="32"/>
  <c r="J79" i="32"/>
  <c r="S79" i="32" s="1"/>
  <c r="R224" i="33"/>
  <c r="K76" i="32"/>
  <c r="J76" i="32"/>
  <c r="S76" i="32" s="1"/>
  <c r="R221" i="33"/>
  <c r="K73" i="32"/>
  <c r="J73" i="32"/>
  <c r="S73" i="32" s="1"/>
  <c r="R220" i="33"/>
  <c r="K72" i="32"/>
  <c r="J72" i="32"/>
  <c r="S72" i="32" s="1"/>
  <c r="R219" i="33"/>
  <c r="K71" i="32"/>
  <c r="J71" i="32"/>
  <c r="S71" i="32" s="1"/>
  <c r="R218" i="33"/>
  <c r="K70" i="32"/>
  <c r="J70" i="32"/>
  <c r="S70" i="32" s="1"/>
  <c r="R217" i="33"/>
  <c r="K69" i="32"/>
  <c r="J69" i="32"/>
  <c r="S69" i="32" s="1"/>
  <c r="R216" i="33"/>
  <c r="K68" i="32"/>
  <c r="J68" i="32"/>
  <c r="S68" i="32" s="1"/>
  <c r="R213" i="33"/>
  <c r="K65" i="32"/>
  <c r="J65" i="32"/>
  <c r="S65" i="32" s="1"/>
  <c r="R210" i="33"/>
  <c r="K62" i="32"/>
  <c r="J62" i="32"/>
  <c r="S62" i="32" s="1"/>
  <c r="R209" i="33"/>
  <c r="K61" i="32"/>
  <c r="J61" i="32"/>
  <c r="S61" i="32" s="1"/>
  <c r="R206" i="33"/>
  <c r="K58" i="32"/>
  <c r="J58" i="32"/>
  <c r="S58" i="32" s="1"/>
  <c r="R203" i="33"/>
  <c r="K55" i="32"/>
  <c r="J55" i="32"/>
  <c r="S55" i="32" s="1"/>
  <c r="R196" i="33"/>
  <c r="K48" i="32"/>
  <c r="J48" i="32"/>
  <c r="S48" i="32" s="1"/>
  <c r="R193" i="33"/>
  <c r="K45" i="32"/>
  <c r="J45" i="32"/>
  <c r="S45" i="32" s="1"/>
  <c r="R190" i="33"/>
  <c r="K42" i="32"/>
  <c r="J42" i="32"/>
  <c r="S42" i="32" s="1"/>
  <c r="R189" i="33"/>
  <c r="K41" i="32"/>
  <c r="J41" i="32"/>
  <c r="S41" i="32" s="1"/>
  <c r="R188" i="33"/>
  <c r="K40" i="32"/>
  <c r="J40" i="32"/>
  <c r="S40" i="32" s="1"/>
  <c r="R185" i="33"/>
  <c r="K37" i="32"/>
  <c r="J37" i="32"/>
  <c r="S37" i="32" s="1"/>
  <c r="R184" i="33"/>
  <c r="K36" i="32"/>
  <c r="J36" i="32"/>
  <c r="S36" i="32" s="1"/>
  <c r="R177" i="33"/>
  <c r="K29" i="32"/>
  <c r="J29" i="32"/>
  <c r="S29" i="32" s="1"/>
  <c r="R245" i="33"/>
  <c r="K97" i="32"/>
  <c r="J97" i="32"/>
  <c r="S97" i="32" s="1"/>
  <c r="R243" i="33"/>
  <c r="K95" i="32"/>
  <c r="J95" i="32"/>
  <c r="S95" i="32" s="1"/>
  <c r="R183" i="33"/>
  <c r="K35" i="32"/>
  <c r="J35" i="32"/>
  <c r="S35" i="32" s="1"/>
  <c r="R182" i="33"/>
  <c r="K34" i="32"/>
  <c r="J34" i="32"/>
  <c r="S34" i="32" s="1"/>
  <c r="W176" i="33"/>
  <c r="W172" i="33"/>
  <c r="D14" i="25"/>
  <c r="G9" i="25" s="1"/>
  <c r="X316" i="32"/>
  <c r="Y312" i="32"/>
  <c r="S200" i="32"/>
  <c r="X267" i="32"/>
  <c r="Y263" i="32"/>
  <c r="Y192" i="32"/>
  <c r="X192" i="32"/>
  <c r="Y188" i="32"/>
  <c r="X188" i="32"/>
  <c r="Y180" i="32"/>
  <c r="X180" i="32"/>
  <c r="Y171" i="32"/>
  <c r="Z319" i="33" s="1"/>
  <c r="X171" i="32"/>
  <c r="Y319" i="33" s="1"/>
  <c r="Y299" i="32"/>
  <c r="X299" i="32"/>
  <c r="Y295" i="32"/>
  <c r="X295" i="32"/>
  <c r="Y291" i="32"/>
  <c r="X291" i="32"/>
  <c r="Y287" i="32"/>
  <c r="X287" i="32"/>
  <c r="Y283" i="32"/>
  <c r="X283" i="32"/>
  <c r="Y279" i="32"/>
  <c r="X279" i="32"/>
  <c r="Y275" i="32"/>
  <c r="X275" i="32"/>
  <c r="Y176" i="32"/>
  <c r="X176" i="32"/>
  <c r="Y182" i="32"/>
  <c r="X182" i="32"/>
  <c r="Y157" i="33"/>
  <c r="Y136" i="33"/>
  <c r="Y125" i="33"/>
  <c r="Y160" i="33"/>
  <c r="Y154" i="33"/>
  <c r="Y149" i="33"/>
  <c r="Y144" i="33"/>
  <c r="Y128" i="33"/>
  <c r="Y122" i="33"/>
  <c r="Y115" i="33"/>
  <c r="Y91" i="33"/>
  <c r="Y83" i="33"/>
  <c r="Y59" i="33"/>
  <c r="Y51" i="33"/>
  <c r="Y318" i="32"/>
  <c r="Y310" i="32"/>
  <c r="Y302" i="32"/>
  <c r="Y269" i="32"/>
  <c r="Y261" i="32"/>
  <c r="Y168" i="33"/>
  <c r="Y152" i="33"/>
  <c r="Z149" i="33"/>
  <c r="Y133" i="33"/>
  <c r="Y119" i="33"/>
  <c r="Y111" i="33"/>
  <c r="Y87" i="33"/>
  <c r="Y79" i="33"/>
  <c r="Y55" i="33"/>
  <c r="Y47" i="33"/>
  <c r="Y27" i="33"/>
  <c r="X162" i="32"/>
  <c r="Y310" i="33" s="1"/>
  <c r="X154" i="32"/>
  <c r="Y302" i="33" s="1"/>
  <c r="X146" i="32"/>
  <c r="Y294" i="33" s="1"/>
  <c r="X138" i="32"/>
  <c r="Y286" i="33" s="1"/>
  <c r="X170" i="32"/>
  <c r="Y318" i="33" s="1"/>
  <c r="X102" i="32"/>
  <c r="Y250" i="33" s="1"/>
  <c r="X126" i="32"/>
  <c r="Y274" i="33" s="1"/>
  <c r="X118" i="32"/>
  <c r="Y266" i="33" s="1"/>
  <c r="X110" i="32"/>
  <c r="Y258" i="33" s="1"/>
  <c r="X194" i="32"/>
  <c r="X190" i="32"/>
  <c r="X186" i="32"/>
  <c r="X178" i="32"/>
  <c r="X174" i="32"/>
  <c r="Y156" i="33"/>
  <c r="Y109" i="33"/>
  <c r="Y93" i="33"/>
  <c r="Y77" i="33"/>
  <c r="Y61" i="33"/>
  <c r="Y45" i="33"/>
  <c r="Y29" i="33"/>
  <c r="Y146" i="33"/>
  <c r="Y130" i="33"/>
  <c r="X168" i="32"/>
  <c r="Y316" i="33" s="1"/>
  <c r="X160" i="32"/>
  <c r="Y308" i="33" s="1"/>
  <c r="X152" i="32"/>
  <c r="Y300" i="33" s="1"/>
  <c r="X144" i="32"/>
  <c r="Y292" i="33" s="1"/>
  <c r="X136" i="32"/>
  <c r="Y284" i="33" s="1"/>
  <c r="Y162" i="33"/>
  <c r="AG12" i="35"/>
  <c r="AG13" i="35" s="1"/>
  <c r="Y139" i="33"/>
  <c r="Z139" i="33"/>
  <c r="Y131" i="33"/>
  <c r="Z131" i="33"/>
  <c r="Y123" i="33"/>
  <c r="Z123" i="33"/>
  <c r="O7" i="33"/>
  <c r="D19" i="25" s="1"/>
  <c r="G12" i="25" s="1"/>
  <c r="Y143" i="33"/>
  <c r="Z143" i="33"/>
  <c r="Y135" i="33"/>
  <c r="Z135" i="33"/>
  <c r="Y127" i="33"/>
  <c r="Z127" i="33"/>
  <c r="X300" i="32"/>
  <c r="Y300" i="32"/>
  <c r="X298" i="32"/>
  <c r="Y298" i="32"/>
  <c r="X296" i="32"/>
  <c r="Y296" i="32"/>
  <c r="X294" i="32"/>
  <c r="Y294" i="32"/>
  <c r="X292" i="32"/>
  <c r="Y292" i="32"/>
  <c r="X290" i="32"/>
  <c r="Y290" i="32"/>
  <c r="X288" i="32"/>
  <c r="Y288" i="32"/>
  <c r="X286" i="32"/>
  <c r="Y286" i="32"/>
  <c r="X284" i="32"/>
  <c r="Y284" i="32"/>
  <c r="X282" i="32"/>
  <c r="Y282" i="32"/>
  <c r="X280" i="32"/>
  <c r="Y280" i="32"/>
  <c r="X278" i="32"/>
  <c r="Y278" i="32"/>
  <c r="X276" i="32"/>
  <c r="Y276" i="32"/>
  <c r="X274" i="32"/>
  <c r="Y274" i="32"/>
  <c r="X272" i="32"/>
  <c r="Y272" i="32"/>
  <c r="Y98" i="32"/>
  <c r="Z246" i="33" s="1"/>
  <c r="X98" i="32"/>
  <c r="Y246" i="33" s="1"/>
  <c r="R134" i="32" l="1"/>
  <c r="S282" i="33" s="1"/>
  <c r="AH18" i="35" a="1"/>
  <c r="AH18" i="35" s="1"/>
  <c r="AI18" i="35" s="1"/>
  <c r="T44" i="35"/>
  <c r="R35" i="32"/>
  <c r="S183" i="33" s="1"/>
  <c r="AB35" i="32"/>
  <c r="Z35" i="32"/>
  <c r="AA35" i="32"/>
  <c r="AC35" i="32"/>
  <c r="R97" i="32"/>
  <c r="S245" i="33" s="1"/>
  <c r="AB97" i="32"/>
  <c r="Z97" i="32"/>
  <c r="AC97" i="32"/>
  <c r="AA97" i="32"/>
  <c r="R36" i="32"/>
  <c r="S184" i="33" s="1"/>
  <c r="AA36" i="32"/>
  <c r="AC36" i="32"/>
  <c r="Z36" i="32"/>
  <c r="AB36" i="32"/>
  <c r="R40" i="32"/>
  <c r="S188" i="33" s="1"/>
  <c r="AA40" i="32"/>
  <c r="AC40" i="32"/>
  <c r="Z40" i="32"/>
  <c r="AB40" i="32"/>
  <c r="R42" i="32"/>
  <c r="S190" i="33" s="1"/>
  <c r="AA42" i="32"/>
  <c r="AC42" i="32"/>
  <c r="AB42" i="32"/>
  <c r="Z42" i="32"/>
  <c r="R48" i="32"/>
  <c r="S196" i="33" s="1"/>
  <c r="AA48" i="32"/>
  <c r="AC48" i="32"/>
  <c r="Z48" i="32"/>
  <c r="AB48" i="32"/>
  <c r="R58" i="32"/>
  <c r="S206" i="33" s="1"/>
  <c r="AA58" i="32"/>
  <c r="AC58" i="32"/>
  <c r="AB58" i="32"/>
  <c r="Z58" i="32"/>
  <c r="R62" i="32"/>
  <c r="S210" i="33" s="1"/>
  <c r="AA62" i="32"/>
  <c r="AC62" i="32"/>
  <c r="AB62" i="32"/>
  <c r="Z62" i="32"/>
  <c r="R68" i="32"/>
  <c r="S216" i="33" s="1"/>
  <c r="AA68" i="32"/>
  <c r="AC68" i="32"/>
  <c r="Z68" i="32"/>
  <c r="AB68" i="32"/>
  <c r="R70" i="32"/>
  <c r="S218" i="33" s="1"/>
  <c r="AA70" i="32"/>
  <c r="AC70" i="32"/>
  <c r="AB70" i="32"/>
  <c r="Z70" i="32"/>
  <c r="R72" i="32"/>
  <c r="S220" i="33" s="1"/>
  <c r="AA72" i="32"/>
  <c r="AC72" i="32"/>
  <c r="Z72" i="32"/>
  <c r="AB72" i="32"/>
  <c r="R76" i="32"/>
  <c r="S224" i="33" s="1"/>
  <c r="AA76" i="32"/>
  <c r="AC76" i="32"/>
  <c r="Z76" i="32"/>
  <c r="AB76" i="32"/>
  <c r="T278" i="33"/>
  <c r="AA130" i="32"/>
  <c r="AC130" i="32"/>
  <c r="AB130" i="32"/>
  <c r="Z130" i="32"/>
  <c r="AA132" i="32"/>
  <c r="AC132" i="32"/>
  <c r="Z132" i="32"/>
  <c r="AB132" i="32"/>
  <c r="AA136" i="32"/>
  <c r="AC136" i="32"/>
  <c r="Z136" i="32"/>
  <c r="AB136" i="32"/>
  <c r="T287" i="33"/>
  <c r="AB139" i="32"/>
  <c r="Z139" i="32"/>
  <c r="AA139" i="32"/>
  <c r="AC139" i="32"/>
  <c r="T289" i="33"/>
  <c r="AB141" i="32"/>
  <c r="Z141" i="32"/>
  <c r="AC141" i="32"/>
  <c r="AA141" i="32"/>
  <c r="T291" i="33"/>
  <c r="AB143" i="32"/>
  <c r="Z143" i="32"/>
  <c r="AA143" i="32"/>
  <c r="AC143" i="32"/>
  <c r="AA146" i="32"/>
  <c r="AC146" i="32"/>
  <c r="AB146" i="32"/>
  <c r="Z146" i="32"/>
  <c r="AA148" i="32"/>
  <c r="AC148" i="32"/>
  <c r="Z148" i="32"/>
  <c r="AB148" i="32"/>
  <c r="T299" i="33"/>
  <c r="AB151" i="32"/>
  <c r="Z151" i="32"/>
  <c r="AA151" i="32"/>
  <c r="AC151" i="32"/>
  <c r="AA156" i="32"/>
  <c r="AC156" i="32"/>
  <c r="Z156" i="32"/>
  <c r="AB156" i="32"/>
  <c r="AA164" i="32"/>
  <c r="AC164" i="32"/>
  <c r="Z164" i="32"/>
  <c r="AB164" i="32"/>
  <c r="AA170" i="32"/>
  <c r="AC170" i="32"/>
  <c r="AB170" i="32"/>
  <c r="Z170" i="32"/>
  <c r="T175" i="33"/>
  <c r="AB27" i="32"/>
  <c r="Z27" i="32"/>
  <c r="AA27" i="32"/>
  <c r="AC27" i="32"/>
  <c r="R30" i="32"/>
  <c r="S178" i="33" s="1"/>
  <c r="AA30" i="32"/>
  <c r="AC30" i="32"/>
  <c r="AB30" i="32"/>
  <c r="Z30" i="32"/>
  <c r="T186" i="33"/>
  <c r="AA38" i="32"/>
  <c r="AC38" i="32"/>
  <c r="AB38" i="32"/>
  <c r="Z38" i="32"/>
  <c r="AB43" i="32"/>
  <c r="Z43" i="32"/>
  <c r="AA43" i="32"/>
  <c r="AC43" i="32"/>
  <c r="R46" i="32"/>
  <c r="S194" i="33" s="1"/>
  <c r="AA46" i="32"/>
  <c r="AC46" i="32"/>
  <c r="AB46" i="32"/>
  <c r="Z46" i="32"/>
  <c r="T197" i="33"/>
  <c r="AB49" i="32"/>
  <c r="Z49" i="32"/>
  <c r="AC49" i="32"/>
  <c r="AA49" i="32"/>
  <c r="R51" i="32"/>
  <c r="S199" i="33" s="1"/>
  <c r="AB51" i="32"/>
  <c r="Z51" i="32"/>
  <c r="AA51" i="32"/>
  <c r="AC51" i="32"/>
  <c r="R53" i="32"/>
  <c r="S201" i="33" s="1"/>
  <c r="AB53" i="32"/>
  <c r="Z53" i="32"/>
  <c r="AC53" i="32"/>
  <c r="AA53" i="32"/>
  <c r="R56" i="32"/>
  <c r="S204" i="33" s="1"/>
  <c r="AA56" i="32"/>
  <c r="AC56" i="32"/>
  <c r="Z56" i="32"/>
  <c r="AB56" i="32"/>
  <c r="T207" i="33"/>
  <c r="AB59" i="32"/>
  <c r="Z59" i="32"/>
  <c r="AA59" i="32"/>
  <c r="AC59" i="32"/>
  <c r="T211" i="33"/>
  <c r="AB63" i="32"/>
  <c r="Z63" i="32"/>
  <c r="AA63" i="32"/>
  <c r="AC63" i="32"/>
  <c r="T214" i="33"/>
  <c r="AA66" i="32"/>
  <c r="AC66" i="32"/>
  <c r="AB66" i="32"/>
  <c r="Z66" i="32"/>
  <c r="T222" i="33"/>
  <c r="AA74" i="32"/>
  <c r="AC74" i="32"/>
  <c r="AB74" i="32"/>
  <c r="Z74" i="32"/>
  <c r="T225" i="33"/>
  <c r="AB77" i="32"/>
  <c r="Z77" i="32"/>
  <c r="AC77" i="32"/>
  <c r="AA77" i="32"/>
  <c r="T228" i="33"/>
  <c r="AA80" i="32"/>
  <c r="AC80" i="32"/>
  <c r="Z80" i="32"/>
  <c r="AB80" i="32"/>
  <c r="T230" i="33"/>
  <c r="AA82" i="32"/>
  <c r="AC82" i="32"/>
  <c r="AB82" i="32"/>
  <c r="Z82" i="32"/>
  <c r="T232" i="33"/>
  <c r="AA84" i="32"/>
  <c r="AC84" i="32"/>
  <c r="Z84" i="32"/>
  <c r="AB84" i="32"/>
  <c r="T234" i="33"/>
  <c r="AA86" i="32"/>
  <c r="AC86" i="32"/>
  <c r="AB86" i="32"/>
  <c r="Z86" i="32"/>
  <c r="T236" i="33"/>
  <c r="AA88" i="32"/>
  <c r="AC88" i="32"/>
  <c r="Z88" i="32"/>
  <c r="AB88" i="32"/>
  <c r="T238" i="33"/>
  <c r="AA90" i="32"/>
  <c r="AC90" i="32"/>
  <c r="AB90" i="32"/>
  <c r="Z90" i="32"/>
  <c r="T240" i="33"/>
  <c r="AA92" i="32"/>
  <c r="AC92" i="32"/>
  <c r="Z92" i="32"/>
  <c r="AB92" i="32"/>
  <c r="AA94" i="32"/>
  <c r="AC94" i="32"/>
  <c r="AB94" i="32"/>
  <c r="Z94" i="32"/>
  <c r="T246" i="33"/>
  <c r="AA98" i="32"/>
  <c r="AC98" i="32"/>
  <c r="AB98" i="32"/>
  <c r="Z98" i="32"/>
  <c r="AA100" i="32"/>
  <c r="AC100" i="32"/>
  <c r="Z100" i="32"/>
  <c r="AB100" i="32"/>
  <c r="AA102" i="32"/>
  <c r="AC102" i="32"/>
  <c r="AB102" i="32"/>
  <c r="Z102" i="32"/>
  <c r="AA104" i="32"/>
  <c r="AC104" i="32"/>
  <c r="Z104" i="32"/>
  <c r="AB104" i="32"/>
  <c r="AA106" i="32"/>
  <c r="AC106" i="32"/>
  <c r="AB106" i="32"/>
  <c r="Z106" i="32"/>
  <c r="AA108" i="32"/>
  <c r="AC108" i="32"/>
  <c r="Z108" i="32"/>
  <c r="AB108" i="32"/>
  <c r="AA110" i="32"/>
  <c r="AC110" i="32"/>
  <c r="AB110" i="32"/>
  <c r="Z110" i="32"/>
  <c r="AA112" i="32"/>
  <c r="AC112" i="32"/>
  <c r="Z112" i="32"/>
  <c r="AB112" i="32"/>
  <c r="AA114" i="32"/>
  <c r="AC114" i="32"/>
  <c r="AB114" i="32"/>
  <c r="Z114" i="32"/>
  <c r="AA116" i="32"/>
  <c r="AC116" i="32"/>
  <c r="Z116" i="32"/>
  <c r="AB116" i="32"/>
  <c r="AA118" i="32"/>
  <c r="AC118" i="32"/>
  <c r="AB118" i="32"/>
  <c r="Z118" i="32"/>
  <c r="AA120" i="32"/>
  <c r="AC120" i="32"/>
  <c r="Z120" i="32"/>
  <c r="AB120" i="32"/>
  <c r="AA122" i="32"/>
  <c r="AC122" i="32"/>
  <c r="AB122" i="32"/>
  <c r="Z122" i="32"/>
  <c r="AA124" i="32"/>
  <c r="AC124" i="32"/>
  <c r="Z124" i="32"/>
  <c r="AB124" i="32"/>
  <c r="AA126" i="32"/>
  <c r="AC126" i="32"/>
  <c r="AB126" i="32"/>
  <c r="Z126" i="32"/>
  <c r="AA128" i="32"/>
  <c r="AC128" i="32"/>
  <c r="Z128" i="32"/>
  <c r="AB128" i="32"/>
  <c r="R133" i="32"/>
  <c r="S281" i="33" s="1"/>
  <c r="AB133" i="32"/>
  <c r="Z133" i="32"/>
  <c r="AC133" i="32"/>
  <c r="AA133" i="32"/>
  <c r="R137" i="32"/>
  <c r="S285" i="33" s="1"/>
  <c r="AB137" i="32"/>
  <c r="Z137" i="32"/>
  <c r="AC137" i="32"/>
  <c r="AA137" i="32"/>
  <c r="T297" i="33"/>
  <c r="AB149" i="32"/>
  <c r="Z149" i="32"/>
  <c r="AC149" i="32"/>
  <c r="AA149" i="32"/>
  <c r="AA154" i="32"/>
  <c r="AC154" i="32"/>
  <c r="AB154" i="32"/>
  <c r="Z154" i="32"/>
  <c r="T305" i="33"/>
  <c r="AB157" i="32"/>
  <c r="Z157" i="32"/>
  <c r="AC157" i="32"/>
  <c r="AA157" i="32"/>
  <c r="T307" i="33"/>
  <c r="AB159" i="32"/>
  <c r="Z159" i="32"/>
  <c r="AA159" i="32"/>
  <c r="AC159" i="32"/>
  <c r="AA162" i="32"/>
  <c r="AC162" i="32"/>
  <c r="AB162" i="32"/>
  <c r="Z162" i="32"/>
  <c r="T313" i="33"/>
  <c r="AB165" i="32"/>
  <c r="Z165" i="32"/>
  <c r="AC165" i="32"/>
  <c r="AA165" i="32"/>
  <c r="AA168" i="32"/>
  <c r="AC168" i="32"/>
  <c r="Z168" i="32"/>
  <c r="AB168" i="32"/>
  <c r="R26" i="32"/>
  <c r="S174" i="33" s="1"/>
  <c r="AA26" i="32"/>
  <c r="AC26" i="32"/>
  <c r="AB26" i="32"/>
  <c r="Z26" i="32"/>
  <c r="R33" i="32"/>
  <c r="S181" i="33" s="1"/>
  <c r="AB33" i="32"/>
  <c r="Z33" i="32"/>
  <c r="AC33" i="32"/>
  <c r="AA33" i="32"/>
  <c r="T182" i="33"/>
  <c r="AA34" i="32"/>
  <c r="AC34" i="32"/>
  <c r="AB34" i="32"/>
  <c r="Z34" i="32"/>
  <c r="T243" i="33"/>
  <c r="AB95" i="32"/>
  <c r="Z95" i="32"/>
  <c r="AA95" i="32"/>
  <c r="AC95" i="32"/>
  <c r="R29" i="32"/>
  <c r="S177" i="33" s="1"/>
  <c r="AB29" i="32"/>
  <c r="Z29" i="32"/>
  <c r="AC29" i="32"/>
  <c r="AA29" i="32"/>
  <c r="T185" i="33"/>
  <c r="AB37" i="32"/>
  <c r="Z37" i="32"/>
  <c r="AC37" i="32"/>
  <c r="AA37" i="32"/>
  <c r="R41" i="32"/>
  <c r="S189" i="33" s="1"/>
  <c r="AB41" i="32"/>
  <c r="Z41" i="32"/>
  <c r="AC41" i="32"/>
  <c r="AA41" i="32"/>
  <c r="T193" i="33"/>
  <c r="AB45" i="32"/>
  <c r="Z45" i="32"/>
  <c r="AC45" i="32"/>
  <c r="AA45" i="32"/>
  <c r="R55" i="32"/>
  <c r="S203" i="33" s="1"/>
  <c r="AB55" i="32"/>
  <c r="Z55" i="32"/>
  <c r="AA55" i="32"/>
  <c r="AC55" i="32"/>
  <c r="R61" i="32"/>
  <c r="S209" i="33" s="1"/>
  <c r="AB61" i="32"/>
  <c r="Z61" i="32"/>
  <c r="AC61" i="32"/>
  <c r="AA61" i="32"/>
  <c r="R65" i="32"/>
  <c r="S213" i="33" s="1"/>
  <c r="AB65" i="32"/>
  <c r="Z65" i="32"/>
  <c r="AC65" i="32"/>
  <c r="AA65" i="32"/>
  <c r="R69" i="32"/>
  <c r="S217" i="33" s="1"/>
  <c r="AB69" i="32"/>
  <c r="Z69" i="32"/>
  <c r="AC69" i="32"/>
  <c r="AA69" i="32"/>
  <c r="R71" i="32"/>
  <c r="S219" i="33" s="1"/>
  <c r="AB71" i="32"/>
  <c r="Z71" i="32"/>
  <c r="AA71" i="32"/>
  <c r="AC71" i="32"/>
  <c r="T221" i="33"/>
  <c r="AB73" i="32"/>
  <c r="Z73" i="32"/>
  <c r="AC73" i="32"/>
  <c r="AA73" i="32"/>
  <c r="R79" i="32"/>
  <c r="S227" i="33" s="1"/>
  <c r="AB79" i="32"/>
  <c r="Z79" i="32"/>
  <c r="AA79" i="32"/>
  <c r="AC79" i="32"/>
  <c r="R131" i="32"/>
  <c r="S279" i="33" s="1"/>
  <c r="AB131" i="32"/>
  <c r="Z131" i="32"/>
  <c r="AA131" i="32"/>
  <c r="AC131" i="32"/>
  <c r="T283" i="33"/>
  <c r="AB135" i="32"/>
  <c r="Z135" i="32"/>
  <c r="AA135" i="32"/>
  <c r="AC135" i="32"/>
  <c r="AA138" i="32"/>
  <c r="AC138" i="32"/>
  <c r="AB138" i="32"/>
  <c r="Z138" i="32"/>
  <c r="AA140" i="32"/>
  <c r="AC140" i="32"/>
  <c r="Z140" i="32"/>
  <c r="AB140" i="32"/>
  <c r="T290" i="33"/>
  <c r="AA142" i="32"/>
  <c r="AC142" i="32"/>
  <c r="AB142" i="32"/>
  <c r="Z142" i="32"/>
  <c r="T293" i="33"/>
  <c r="AB145" i="32"/>
  <c r="Z145" i="32"/>
  <c r="AC145" i="32"/>
  <c r="AA145" i="32"/>
  <c r="T295" i="33"/>
  <c r="AB147" i="32"/>
  <c r="Z147" i="32"/>
  <c r="AA147" i="32"/>
  <c r="AC147" i="32"/>
  <c r="T298" i="33"/>
  <c r="AA150" i="32"/>
  <c r="AC150" i="32"/>
  <c r="AB150" i="32"/>
  <c r="Z150" i="32"/>
  <c r="AA152" i="32"/>
  <c r="AC152" i="32"/>
  <c r="Z152" i="32"/>
  <c r="AB152" i="32"/>
  <c r="T309" i="33"/>
  <c r="AB161" i="32"/>
  <c r="Z161" i="32"/>
  <c r="AC161" i="32"/>
  <c r="AA161" i="32"/>
  <c r="T315" i="33"/>
  <c r="AB167" i="32"/>
  <c r="Z167" i="32"/>
  <c r="AA167" i="32"/>
  <c r="AC167" i="32"/>
  <c r="T319" i="33"/>
  <c r="AB171" i="32"/>
  <c r="Z171" i="32"/>
  <c r="AA171" i="32"/>
  <c r="AC171" i="32"/>
  <c r="R31" i="32"/>
  <c r="S179" i="33" s="1"/>
  <c r="AB31" i="32"/>
  <c r="Z31" i="32"/>
  <c r="AA31" i="32"/>
  <c r="AC31" i="32"/>
  <c r="R39" i="32"/>
  <c r="S187" i="33" s="1"/>
  <c r="AB39" i="32"/>
  <c r="Z39" i="32"/>
  <c r="AA39" i="32"/>
  <c r="AC39" i="32"/>
  <c r="T192" i="33"/>
  <c r="AA44" i="32"/>
  <c r="AC44" i="32"/>
  <c r="Z44" i="32"/>
  <c r="AB44" i="32"/>
  <c r="R47" i="32"/>
  <c r="S195" i="33" s="1"/>
  <c r="AB47" i="32"/>
  <c r="Z47" i="32"/>
  <c r="AA47" i="32"/>
  <c r="AC47" i="32"/>
  <c r="T198" i="33"/>
  <c r="AA50" i="32"/>
  <c r="AC50" i="32"/>
  <c r="AB50" i="32"/>
  <c r="Z50" i="32"/>
  <c r="T200" i="33"/>
  <c r="AA52" i="32"/>
  <c r="AC52" i="32"/>
  <c r="Z52" i="32"/>
  <c r="AB52" i="32"/>
  <c r="T202" i="33"/>
  <c r="AA54" i="32"/>
  <c r="AC54" i="32"/>
  <c r="AB54" i="32"/>
  <c r="Z54" i="32"/>
  <c r="T205" i="33"/>
  <c r="AB57" i="32"/>
  <c r="Z57" i="32"/>
  <c r="AC57" i="32"/>
  <c r="AA57" i="32"/>
  <c r="R60" i="32"/>
  <c r="S208" i="33" s="1"/>
  <c r="AA60" i="32"/>
  <c r="AC60" i="32"/>
  <c r="Z60" i="32"/>
  <c r="AB60" i="32"/>
  <c r="R64" i="32"/>
  <c r="S212" i="33" s="1"/>
  <c r="AA64" i="32"/>
  <c r="AC64" i="32"/>
  <c r="Z64" i="32"/>
  <c r="AB64" i="32"/>
  <c r="R67" i="32"/>
  <c r="S215" i="33" s="1"/>
  <c r="AB67" i="32"/>
  <c r="Z67" i="32"/>
  <c r="AA67" i="32"/>
  <c r="AC67" i="32"/>
  <c r="T223" i="33"/>
  <c r="AB75" i="32"/>
  <c r="Z75" i="32"/>
  <c r="AA75" i="32"/>
  <c r="AC75" i="32"/>
  <c r="R78" i="32"/>
  <c r="S226" i="33" s="1"/>
  <c r="AA78" i="32"/>
  <c r="AC78" i="32"/>
  <c r="AB78" i="32"/>
  <c r="Z78" i="32"/>
  <c r="R81" i="32"/>
  <c r="S229" i="33" s="1"/>
  <c r="AB81" i="32"/>
  <c r="Z81" i="32"/>
  <c r="AC81" i="32"/>
  <c r="AA81" i="32"/>
  <c r="T231" i="33"/>
  <c r="AB83" i="32"/>
  <c r="Z83" i="32"/>
  <c r="AA83" i="32"/>
  <c r="AC83" i="32"/>
  <c r="T233" i="33"/>
  <c r="AB85" i="32"/>
  <c r="Z85" i="32"/>
  <c r="AC85" i="32"/>
  <c r="AA85" i="32"/>
  <c r="R87" i="32"/>
  <c r="S235" i="33" s="1"/>
  <c r="AB87" i="32"/>
  <c r="Z87" i="32"/>
  <c r="AA87" i="32"/>
  <c r="AC87" i="32"/>
  <c r="R89" i="32"/>
  <c r="S237" i="33" s="1"/>
  <c r="AB89" i="32"/>
  <c r="Z89" i="32"/>
  <c r="AC89" i="32"/>
  <c r="AA89" i="32"/>
  <c r="T239" i="33"/>
  <c r="AB91" i="32"/>
  <c r="Z91" i="32"/>
  <c r="AA91" i="32"/>
  <c r="AC91" i="32"/>
  <c r="T241" i="33"/>
  <c r="AB93" i="32"/>
  <c r="Z93" i="32"/>
  <c r="AC93" i="32"/>
  <c r="AA93" i="32"/>
  <c r="R96" i="32"/>
  <c r="S244" i="33" s="1"/>
  <c r="AA96" i="32"/>
  <c r="AC96" i="32"/>
  <c r="Z96" i="32"/>
  <c r="AB96" i="32"/>
  <c r="R99" i="32"/>
  <c r="S247" i="33" s="1"/>
  <c r="AB99" i="32"/>
  <c r="Z99" i="32"/>
  <c r="AA99" i="32"/>
  <c r="AC99" i="32"/>
  <c r="R101" i="32"/>
  <c r="S249" i="33" s="1"/>
  <c r="AB101" i="32"/>
  <c r="Z101" i="32"/>
  <c r="AC101" i="32"/>
  <c r="AA101" i="32"/>
  <c r="R103" i="32"/>
  <c r="S251" i="33" s="1"/>
  <c r="AB103" i="32"/>
  <c r="Z103" i="32"/>
  <c r="AA103" i="32"/>
  <c r="AC103" i="32"/>
  <c r="R105" i="32"/>
  <c r="S253" i="33" s="1"/>
  <c r="AB105" i="32"/>
  <c r="Z105" i="32"/>
  <c r="AC105" i="32"/>
  <c r="AA105" i="32"/>
  <c r="R107" i="32"/>
  <c r="S255" i="33" s="1"/>
  <c r="AB107" i="32"/>
  <c r="Z107" i="32"/>
  <c r="AA107" i="32"/>
  <c r="AC107" i="32"/>
  <c r="R109" i="32"/>
  <c r="S257" i="33" s="1"/>
  <c r="AB109" i="32"/>
  <c r="Z109" i="32"/>
  <c r="AC109" i="32"/>
  <c r="AA109" i="32"/>
  <c r="R111" i="32"/>
  <c r="S259" i="33" s="1"/>
  <c r="AB111" i="32"/>
  <c r="Z111" i="32"/>
  <c r="AA111" i="32"/>
  <c r="AC111" i="32"/>
  <c r="R113" i="32"/>
  <c r="S261" i="33" s="1"/>
  <c r="AB113" i="32"/>
  <c r="Z113" i="32"/>
  <c r="AC113" i="32"/>
  <c r="AA113" i="32"/>
  <c r="R115" i="32"/>
  <c r="S263" i="33" s="1"/>
  <c r="AB115" i="32"/>
  <c r="Z115" i="32"/>
  <c r="AA115" i="32"/>
  <c r="AC115" i="32"/>
  <c r="R117" i="32"/>
  <c r="S265" i="33" s="1"/>
  <c r="AB117" i="32"/>
  <c r="Z117" i="32"/>
  <c r="AC117" i="32"/>
  <c r="AA117" i="32"/>
  <c r="R119" i="32"/>
  <c r="S267" i="33" s="1"/>
  <c r="AB119" i="32"/>
  <c r="Z119" i="32"/>
  <c r="AA119" i="32"/>
  <c r="AC119" i="32"/>
  <c r="R121" i="32"/>
  <c r="S269" i="33" s="1"/>
  <c r="AB121" i="32"/>
  <c r="Z121" i="32"/>
  <c r="AC121" i="32"/>
  <c r="AA121" i="32"/>
  <c r="R123" i="32"/>
  <c r="S271" i="33" s="1"/>
  <c r="AB123" i="32"/>
  <c r="Z123" i="32"/>
  <c r="AA123" i="32"/>
  <c r="AC123" i="32"/>
  <c r="R125" i="32"/>
  <c r="S273" i="33" s="1"/>
  <c r="AB125" i="32"/>
  <c r="Z125" i="32"/>
  <c r="AC125" i="32"/>
  <c r="AA125" i="32"/>
  <c r="R127" i="32"/>
  <c r="S275" i="33" s="1"/>
  <c r="AB127" i="32"/>
  <c r="Z127" i="32"/>
  <c r="AA127" i="32"/>
  <c r="AC127" i="32"/>
  <c r="R129" i="32"/>
  <c r="S277" i="33" s="1"/>
  <c r="AB129" i="32"/>
  <c r="Z129" i="32"/>
  <c r="AC129" i="32"/>
  <c r="AA129" i="32"/>
  <c r="T282" i="33"/>
  <c r="AA134" i="32"/>
  <c r="AC134" i="32"/>
  <c r="AB134" i="32"/>
  <c r="Z134" i="32"/>
  <c r="AA144" i="32"/>
  <c r="AC144" i="32"/>
  <c r="Z144" i="32"/>
  <c r="AB144" i="32"/>
  <c r="R153" i="32"/>
  <c r="S301" i="33" s="1"/>
  <c r="AB153" i="32"/>
  <c r="Z153" i="32"/>
  <c r="AC153" i="32"/>
  <c r="AA153" i="32"/>
  <c r="T303" i="33"/>
  <c r="AB155" i="32"/>
  <c r="Z155" i="32"/>
  <c r="AA155" i="32"/>
  <c r="AC155" i="32"/>
  <c r="T306" i="33"/>
  <c r="AA158" i="32"/>
  <c r="AC158" i="32"/>
  <c r="AB158" i="32"/>
  <c r="Z158" i="32"/>
  <c r="AA160" i="32"/>
  <c r="AC160" i="32"/>
  <c r="Z160" i="32"/>
  <c r="AB160" i="32"/>
  <c r="T311" i="33"/>
  <c r="AB163" i="32"/>
  <c r="Z163" i="32"/>
  <c r="AA163" i="32"/>
  <c r="AC163" i="32"/>
  <c r="T314" i="33"/>
  <c r="AA166" i="32"/>
  <c r="AC166" i="32"/>
  <c r="AB166" i="32"/>
  <c r="Z166" i="32"/>
  <c r="T317" i="33"/>
  <c r="AB169" i="32"/>
  <c r="Z169" i="32"/>
  <c r="AC169" i="32"/>
  <c r="AA169" i="32"/>
  <c r="T180" i="33"/>
  <c r="AA32" i="32"/>
  <c r="AC32" i="32"/>
  <c r="Z32" i="32"/>
  <c r="AB32" i="32"/>
  <c r="K180" i="33"/>
  <c r="K241" i="33"/>
  <c r="K175" i="33"/>
  <c r="K183" i="33"/>
  <c r="K187" i="33"/>
  <c r="K191" i="33"/>
  <c r="K201" i="33"/>
  <c r="K207" i="33"/>
  <c r="K211" i="33"/>
  <c r="K215" i="33"/>
  <c r="K217" i="33"/>
  <c r="K219" i="33"/>
  <c r="K225" i="33"/>
  <c r="K277" i="33"/>
  <c r="K281" i="33"/>
  <c r="K284" i="33"/>
  <c r="K286" i="33"/>
  <c r="K288" i="33"/>
  <c r="K291" i="33"/>
  <c r="K293" i="33"/>
  <c r="K296" i="33"/>
  <c r="K298" i="33"/>
  <c r="K307" i="33"/>
  <c r="K313" i="33"/>
  <c r="K317" i="33"/>
  <c r="K177" i="33"/>
  <c r="K185" i="33"/>
  <c r="K190" i="33"/>
  <c r="K193" i="33"/>
  <c r="K196" i="33"/>
  <c r="K198" i="33"/>
  <c r="K200" i="33"/>
  <c r="K203" i="33"/>
  <c r="K206" i="33"/>
  <c r="K210" i="33"/>
  <c r="K213" i="33"/>
  <c r="K221" i="33"/>
  <c r="K224" i="33"/>
  <c r="K227" i="33"/>
  <c r="K229" i="33"/>
  <c r="K231" i="33"/>
  <c r="K233" i="33"/>
  <c r="K235" i="33"/>
  <c r="K237" i="33"/>
  <c r="K239" i="33"/>
  <c r="K242" i="33"/>
  <c r="K245" i="33"/>
  <c r="K247" i="33"/>
  <c r="K249" i="33"/>
  <c r="K251" i="33"/>
  <c r="K253" i="33"/>
  <c r="K255" i="33"/>
  <c r="K257" i="33"/>
  <c r="K259" i="33"/>
  <c r="K261" i="33"/>
  <c r="K263" i="33"/>
  <c r="K265" i="33"/>
  <c r="K267" i="33"/>
  <c r="K269" i="33"/>
  <c r="K271" i="33"/>
  <c r="K273" i="33"/>
  <c r="K275" i="33"/>
  <c r="K280" i="33"/>
  <c r="K290" i="33"/>
  <c r="K299" i="33"/>
  <c r="K301" i="33"/>
  <c r="K304" i="33"/>
  <c r="K306" i="33"/>
  <c r="K309" i="33"/>
  <c r="K312" i="33"/>
  <c r="K315" i="33"/>
  <c r="K178" i="33"/>
  <c r="K181" i="33"/>
  <c r="K243" i="33"/>
  <c r="K182" i="33"/>
  <c r="K186" i="33"/>
  <c r="K188" i="33"/>
  <c r="K194" i="33"/>
  <c r="K204" i="33"/>
  <c r="K208" i="33"/>
  <c r="K214" i="33"/>
  <c r="K216" i="33"/>
  <c r="K218" i="33"/>
  <c r="K222" i="33"/>
  <c r="K276" i="33"/>
  <c r="K278" i="33"/>
  <c r="K282" i="33"/>
  <c r="K285" i="33"/>
  <c r="K287" i="33"/>
  <c r="K289" i="33"/>
  <c r="K292" i="33"/>
  <c r="K294" i="33"/>
  <c r="K297" i="33"/>
  <c r="K302" i="33"/>
  <c r="K310" i="33"/>
  <c r="K316" i="33"/>
  <c r="K173" i="33"/>
  <c r="K176" i="33"/>
  <c r="K184" i="33"/>
  <c r="K189" i="33"/>
  <c r="K192" i="33"/>
  <c r="K195" i="33"/>
  <c r="K197" i="33"/>
  <c r="K199" i="33"/>
  <c r="K202" i="33"/>
  <c r="K205" i="33"/>
  <c r="K209" i="33"/>
  <c r="K212" i="33"/>
  <c r="K220" i="33"/>
  <c r="K223" i="33"/>
  <c r="K226" i="33"/>
  <c r="K228" i="33"/>
  <c r="K230" i="33"/>
  <c r="K232" i="33"/>
  <c r="K234" i="33"/>
  <c r="K236" i="33"/>
  <c r="K238" i="33"/>
  <c r="K240" i="33"/>
  <c r="K244" i="33"/>
  <c r="K246" i="33"/>
  <c r="K248" i="33"/>
  <c r="K250" i="33"/>
  <c r="K252" i="33"/>
  <c r="K254" i="33"/>
  <c r="K256" i="33"/>
  <c r="K258" i="33"/>
  <c r="K260" i="33"/>
  <c r="K262" i="33"/>
  <c r="K264" i="33"/>
  <c r="K266" i="33"/>
  <c r="K268" i="33"/>
  <c r="K270" i="33"/>
  <c r="K272" i="33"/>
  <c r="K274" i="33"/>
  <c r="K279" i="33"/>
  <c r="K283" i="33"/>
  <c r="K295" i="33"/>
  <c r="K300" i="33"/>
  <c r="K303" i="33"/>
  <c r="K305" i="33"/>
  <c r="K308" i="33"/>
  <c r="K311" i="33"/>
  <c r="K314" i="33"/>
  <c r="K172" i="33"/>
  <c r="K179" i="33"/>
  <c r="AI17" i="35"/>
  <c r="T273" i="33"/>
  <c r="R77" i="32"/>
  <c r="S225" i="33" s="1"/>
  <c r="T195" i="33"/>
  <c r="T212" i="33"/>
  <c r="R91" i="32"/>
  <c r="S239" i="33" s="1"/>
  <c r="T257" i="33"/>
  <c r="R163" i="32"/>
  <c r="S311" i="33" s="1"/>
  <c r="R82" i="32"/>
  <c r="S230" i="33" s="1"/>
  <c r="T203" i="33"/>
  <c r="T219" i="33"/>
  <c r="T229" i="33"/>
  <c r="R83" i="32"/>
  <c r="S231" i="33" s="1"/>
  <c r="R161" i="32"/>
  <c r="S309" i="33" s="1"/>
  <c r="T249" i="33"/>
  <c r="T265" i="33"/>
  <c r="R135" i="32"/>
  <c r="S283" i="33" s="1"/>
  <c r="R34" i="32"/>
  <c r="S182" i="33" s="1"/>
  <c r="R44" i="32"/>
  <c r="S192" i="33" s="1"/>
  <c r="T208" i="33"/>
  <c r="T215" i="33"/>
  <c r="R75" i="32"/>
  <c r="S223" i="33" s="1"/>
  <c r="T226" i="33"/>
  <c r="T235" i="33"/>
  <c r="T244" i="33"/>
  <c r="T179" i="33"/>
  <c r="R54" i="32"/>
  <c r="S202" i="33" s="1"/>
  <c r="T253" i="33"/>
  <c r="T261" i="33"/>
  <c r="T269" i="33"/>
  <c r="T277" i="33"/>
  <c r="T189" i="33"/>
  <c r="R147" i="32"/>
  <c r="S295" i="33" s="1"/>
  <c r="R171" i="32"/>
  <c r="S319" i="33" s="1"/>
  <c r="R32" i="32"/>
  <c r="S180" i="33" s="1"/>
  <c r="T187" i="33"/>
  <c r="R50" i="32"/>
  <c r="S198" i="33" s="1"/>
  <c r="R57" i="32"/>
  <c r="S205" i="33" s="1"/>
  <c r="T209" i="33"/>
  <c r="T213" i="33"/>
  <c r="T217" i="33"/>
  <c r="R73" i="32"/>
  <c r="S221" i="33" s="1"/>
  <c r="T227" i="33"/>
  <c r="R85" i="32"/>
  <c r="S233" i="33" s="1"/>
  <c r="T237" i="33"/>
  <c r="R93" i="32"/>
  <c r="S241" i="33" s="1"/>
  <c r="R155" i="32"/>
  <c r="S303" i="33" s="1"/>
  <c r="R167" i="32"/>
  <c r="S315" i="33" s="1"/>
  <c r="R37" i="32"/>
  <c r="S185" i="33" s="1"/>
  <c r="R52" i="32"/>
  <c r="S200" i="33" s="1"/>
  <c r="T247" i="33"/>
  <c r="T251" i="33"/>
  <c r="T255" i="33"/>
  <c r="T259" i="33"/>
  <c r="T263" i="33"/>
  <c r="T267" i="33"/>
  <c r="T271" i="33"/>
  <c r="T275" i="33"/>
  <c r="T279" i="33"/>
  <c r="R145" i="32"/>
  <c r="S293" i="33" s="1"/>
  <c r="T301" i="33"/>
  <c r="R169" i="32"/>
  <c r="S317" i="33" s="1"/>
  <c r="R158" i="32"/>
  <c r="S306" i="33" s="1"/>
  <c r="R90" i="32"/>
  <c r="S238" i="33" s="1"/>
  <c r="T174" i="33"/>
  <c r="T184" i="33"/>
  <c r="T199" i="33"/>
  <c r="T204" i="33"/>
  <c r="R59" i="32"/>
  <c r="S207" i="33" s="1"/>
  <c r="T220" i="33"/>
  <c r="R86" i="32"/>
  <c r="S234" i="33" s="1"/>
  <c r="R49" i="32"/>
  <c r="S197" i="33" s="1"/>
  <c r="T281" i="33"/>
  <c r="R149" i="32"/>
  <c r="S297" i="33" s="1"/>
  <c r="R159" i="32"/>
  <c r="S307" i="33" s="1"/>
  <c r="R130" i="32"/>
  <c r="S278" i="33" s="1"/>
  <c r="R95" i="32"/>
  <c r="S243" i="33" s="1"/>
  <c r="T177" i="33"/>
  <c r="R45" i="32"/>
  <c r="S193" i="33" s="1"/>
  <c r="R166" i="32"/>
  <c r="S314" i="33" s="1"/>
  <c r="R150" i="32"/>
  <c r="S298" i="33" s="1"/>
  <c r="T178" i="33"/>
  <c r="R38" i="32"/>
  <c r="S186" i="33" s="1"/>
  <c r="T194" i="33"/>
  <c r="T201" i="33"/>
  <c r="T206" i="33"/>
  <c r="R66" i="32"/>
  <c r="S214" i="33" s="1"/>
  <c r="R74" i="32"/>
  <c r="S222" i="33" s="1"/>
  <c r="R80" i="32"/>
  <c r="S228" i="33" s="1"/>
  <c r="R84" i="32"/>
  <c r="S232" i="33" s="1"/>
  <c r="R88" i="32"/>
  <c r="S236" i="33" s="1"/>
  <c r="R92" i="32"/>
  <c r="S240" i="33" s="1"/>
  <c r="R98" i="32"/>
  <c r="S246" i="33" s="1"/>
  <c r="R27" i="32"/>
  <c r="S175" i="33" s="1"/>
  <c r="T181" i="33"/>
  <c r="R63" i="32"/>
  <c r="S211" i="33" s="1"/>
  <c r="T285" i="33"/>
  <c r="R157" i="32"/>
  <c r="S305" i="33" s="1"/>
  <c r="R165" i="32"/>
  <c r="S313" i="33" s="1"/>
  <c r="T245" i="33"/>
  <c r="T183" i="33"/>
  <c r="T190" i="33"/>
  <c r="T216" i="33"/>
  <c r="R143" i="32"/>
  <c r="S291" i="33" s="1"/>
  <c r="R142" i="32"/>
  <c r="S290" i="33" s="1"/>
  <c r="T188" i="33"/>
  <c r="T196" i="33"/>
  <c r="T210" i="33"/>
  <c r="T218" i="33"/>
  <c r="T224" i="33"/>
  <c r="R141" i="32"/>
  <c r="S289" i="33" s="1"/>
  <c r="R139" i="32"/>
  <c r="S287" i="33" s="1"/>
  <c r="R151" i="32"/>
  <c r="S299" i="33" s="1"/>
  <c r="T318" i="33"/>
  <c r="R170" i="32"/>
  <c r="S318" i="33" s="1"/>
  <c r="T286" i="33"/>
  <c r="R138" i="32"/>
  <c r="S286" i="33" s="1"/>
  <c r="R43" i="32"/>
  <c r="S191" i="33" s="1"/>
  <c r="T191" i="33"/>
  <c r="T250" i="33"/>
  <c r="R102" i="32"/>
  <c r="S250" i="33" s="1"/>
  <c r="R106" i="32"/>
  <c r="S254" i="33" s="1"/>
  <c r="T254" i="33"/>
  <c r="T258" i="33"/>
  <c r="R110" i="32"/>
  <c r="S258" i="33" s="1"/>
  <c r="T262" i="33"/>
  <c r="R114" i="32"/>
  <c r="S262" i="33" s="1"/>
  <c r="T266" i="33"/>
  <c r="R118" i="32"/>
  <c r="S266" i="33" s="1"/>
  <c r="T270" i="33"/>
  <c r="R122" i="32"/>
  <c r="S270" i="33" s="1"/>
  <c r="T274" i="33"/>
  <c r="R126" i="32"/>
  <c r="S274" i="33" s="1"/>
  <c r="T302" i="33"/>
  <c r="R154" i="32"/>
  <c r="S302" i="33" s="1"/>
  <c r="T310" i="33"/>
  <c r="R162" i="32"/>
  <c r="S310" i="33" s="1"/>
  <c r="T294" i="33"/>
  <c r="R146" i="32"/>
  <c r="S294" i="33" s="1"/>
  <c r="T242" i="33"/>
  <c r="R94" i="32"/>
  <c r="S242" i="33" s="1"/>
  <c r="T248" i="33"/>
  <c r="R100" i="32"/>
  <c r="S248" i="33" s="1"/>
  <c r="T256" i="33"/>
  <c r="R108" i="32"/>
  <c r="S256" i="33" s="1"/>
  <c r="T264" i="33"/>
  <c r="R116" i="32"/>
  <c r="S264" i="33" s="1"/>
  <c r="T272" i="33"/>
  <c r="R124" i="32"/>
  <c r="S272" i="33" s="1"/>
  <c r="T288" i="33"/>
  <c r="R140" i="32"/>
  <c r="S288" i="33" s="1"/>
  <c r="T296" i="33"/>
  <c r="R148" i="32"/>
  <c r="S296" i="33" s="1"/>
  <c r="T304" i="33"/>
  <c r="R156" i="32"/>
  <c r="S304" i="33" s="1"/>
  <c r="T312" i="33"/>
  <c r="R164" i="32"/>
  <c r="S312" i="33" s="1"/>
  <c r="T252" i="33"/>
  <c r="R104" i="32"/>
  <c r="S252" i="33" s="1"/>
  <c r="T260" i="33"/>
  <c r="R112" i="32"/>
  <c r="S260" i="33" s="1"/>
  <c r="T268" i="33"/>
  <c r="R120" i="32"/>
  <c r="S268" i="33" s="1"/>
  <c r="T276" i="33"/>
  <c r="R128" i="32"/>
  <c r="S276" i="33" s="1"/>
  <c r="T280" i="33"/>
  <c r="R132" i="32"/>
  <c r="S280" i="33" s="1"/>
  <c r="T284" i="33"/>
  <c r="R136" i="32"/>
  <c r="S284" i="33" s="1"/>
  <c r="T292" i="33"/>
  <c r="R144" i="32"/>
  <c r="S292" i="33" s="1"/>
  <c r="T300" i="33"/>
  <c r="R152" i="32"/>
  <c r="S300" i="33" s="1"/>
  <c r="T308" i="33"/>
  <c r="R160" i="32"/>
  <c r="S308" i="33" s="1"/>
  <c r="T316" i="33"/>
  <c r="R168" i="32"/>
  <c r="S316" i="33" s="1"/>
  <c r="AG14" i="35"/>
  <c r="AH19" i="35" l="1" a="1"/>
  <c r="AH19" i="35" s="1"/>
  <c r="T42" i="35"/>
  <c r="AG15" i="35"/>
  <c r="AH20" i="35" l="1" a="1"/>
  <c r="AH20" i="35" s="1"/>
  <c r="T43" i="35"/>
  <c r="AI19" i="35"/>
  <c r="AG17" i="35"/>
  <c r="AG16" i="35"/>
  <c r="AH21" i="35" l="1" a="1"/>
  <c r="AH21" i="35" s="1"/>
  <c r="AH22" i="35" s="1" a="1"/>
  <c r="AH22" i="35" s="1"/>
  <c r="AH23" i="35" s="1" a="1"/>
  <c r="AH23" i="35" s="1"/>
  <c r="AH24" i="35" s="1" a="1"/>
  <c r="AH24" i="35" s="1"/>
  <c r="AH25" i="35" s="1" a="1"/>
  <c r="AH25" i="35" s="1"/>
  <c r="AH26" i="35" s="1" a="1"/>
  <c r="AH26" i="35" s="1"/>
  <c r="AH27" i="35" s="1" a="1"/>
  <c r="AH27" i="35" s="1"/>
  <c r="AH28" i="35" s="1" a="1"/>
  <c r="AH28" i="35" s="1"/>
  <c r="AH29" i="35" s="1" a="1"/>
  <c r="AH29" i="35" s="1"/>
  <c r="AH30" i="35" s="1" a="1"/>
  <c r="AH30" i="35" s="1"/>
  <c r="AH31" i="35" s="1" a="1"/>
  <c r="AH31" i="35" s="1"/>
  <c r="AH32" i="35" s="1" a="1"/>
  <c r="AH32" i="35" s="1"/>
  <c r="T41" i="35"/>
  <c r="AI20" i="35"/>
  <c r="AG18" i="35"/>
  <c r="AH33" i="35" l="1" a="1"/>
  <c r="AH33" i="35" s="1"/>
  <c r="AH34" i="35" s="1" a="1"/>
  <c r="AH34" i="35" s="1"/>
  <c r="AH35" i="35" s="1" a="1"/>
  <c r="AH35" i="35" s="1"/>
  <c r="AH36" i="35" s="1" a="1"/>
  <c r="AH36" i="35" s="1"/>
  <c r="AH37" i="35" s="1" a="1"/>
  <c r="AH37" i="35" s="1"/>
  <c r="AH38" i="35" s="1" a="1"/>
  <c r="AH38" i="35" s="1"/>
  <c r="AH39" i="35" s="1" a="1"/>
  <c r="AH39" i="35" s="1"/>
  <c r="AH40" i="35" s="1" a="1"/>
  <c r="AH40" i="35" s="1"/>
  <c r="AH41" i="35" s="1" a="1"/>
  <c r="AH41" i="35" s="1"/>
  <c r="AH42" i="35" s="1" a="1"/>
  <c r="AH42" i="35" s="1"/>
  <c r="AH43" i="35" s="1" a="1"/>
  <c r="AH43" i="35" s="1"/>
  <c r="AH44" i="35" s="1" a="1"/>
  <c r="AH44" i="35" s="1"/>
  <c r="AH45" i="35" s="1" a="1"/>
  <c r="AH45" i="35" s="1"/>
  <c r="AH46" i="35" s="1" a="1"/>
  <c r="AH46" i="35" s="1"/>
  <c r="AH47" i="35" s="1" a="1"/>
  <c r="AH47" i="35" s="1"/>
  <c r="AH48" i="35" s="1" a="1"/>
  <c r="AH48" i="35" s="1"/>
  <c r="AH49" i="35" s="1" a="1"/>
  <c r="AH49" i="35" s="1"/>
  <c r="AH50" i="35" s="1" a="1"/>
  <c r="AH50" i="35" s="1"/>
  <c r="AH51" i="35" s="1" a="1"/>
  <c r="AH51" i="35" s="1"/>
  <c r="AH52" i="35" s="1" a="1"/>
  <c r="AH52" i="35" s="1"/>
  <c r="AH53" i="35" s="1" a="1"/>
  <c r="AH53" i="35" s="1"/>
  <c r="AH54" i="35" s="1" a="1"/>
  <c r="AH54" i="35" s="1"/>
  <c r="AH55" i="35" s="1" a="1"/>
  <c r="AH55" i="35" s="1"/>
  <c r="AH56" i="35" s="1" a="1"/>
  <c r="AH56" i="35" s="1"/>
  <c r="AH57" i="35" s="1" a="1"/>
  <c r="AH57" i="35" s="1"/>
  <c r="AH58" i="35" s="1" a="1"/>
  <c r="AH58" i="35" s="1"/>
  <c r="AH59" i="35" s="1" a="1"/>
  <c r="AH59" i="35" s="1"/>
  <c r="AH60" i="35" s="1" a="1"/>
  <c r="AH60" i="35" s="1"/>
  <c r="AH61" i="35" s="1" a="1"/>
  <c r="AH61" i="35" s="1"/>
  <c r="AH62" i="35" s="1" a="1"/>
  <c r="AH62" i="35" s="1"/>
  <c r="AH63" i="35" s="1" a="1"/>
  <c r="AH63" i="35" s="1"/>
  <c r="AH64" i="35" s="1" a="1"/>
  <c r="AH64" i="35" s="1"/>
  <c r="AH65" i="35" s="1" a="1"/>
  <c r="AH65" i="35" s="1"/>
  <c r="AH66" i="35" s="1" a="1"/>
  <c r="AH66" i="35" s="1"/>
  <c r="AH67" i="35" s="1" a="1"/>
  <c r="AH67" i="35" s="1"/>
  <c r="AH68" i="35" s="1" a="1"/>
  <c r="AH68" i="35" s="1"/>
  <c r="AH69" i="35" s="1" a="1"/>
  <c r="AH69" i="35" s="1"/>
  <c r="AH70" i="35" s="1" a="1"/>
  <c r="AH70" i="35" s="1"/>
  <c r="AH71" i="35" s="1" a="1"/>
  <c r="AH71" i="35" s="1"/>
  <c r="AH72" i="35" s="1" a="1"/>
  <c r="AH72" i="35" s="1"/>
  <c r="AH73" i="35" s="1" a="1"/>
  <c r="AH73" i="35" s="1"/>
  <c r="AH74" i="35" s="1" a="1"/>
  <c r="AH74" i="35" s="1"/>
  <c r="AH75" i="35" s="1" a="1"/>
  <c r="AH75" i="35" s="1"/>
  <c r="AH76" i="35" s="1" a="1"/>
  <c r="AH76" i="35" s="1"/>
  <c r="AH77" i="35" s="1" a="1"/>
  <c r="AH77" i="35" s="1"/>
  <c r="AH78" i="35" s="1" a="1"/>
  <c r="AH78" i="35" s="1"/>
  <c r="AH79" i="35" s="1" a="1"/>
  <c r="AH79" i="35" s="1"/>
  <c r="AH80" i="35" s="1" a="1"/>
  <c r="AH80" i="35" s="1"/>
  <c r="AH81" i="35" s="1" a="1"/>
  <c r="AH81" i="35" s="1"/>
  <c r="AH82" i="35" s="1" a="1"/>
  <c r="AH82" i="35" s="1"/>
  <c r="AH83" i="35" s="1" a="1"/>
  <c r="AH83" i="35" s="1"/>
  <c r="AH84" i="35" s="1" a="1"/>
  <c r="AH84" i="35" s="1"/>
  <c r="AH85" i="35" s="1" a="1"/>
  <c r="AH85" i="35" s="1"/>
  <c r="AH86" i="35" s="1" a="1"/>
  <c r="AH86" i="35" s="1"/>
  <c r="AH87" i="35" s="1" a="1"/>
  <c r="AH87" i="35" s="1"/>
  <c r="AH88" i="35" s="1" a="1"/>
  <c r="AH88" i="35" s="1"/>
  <c r="AH89" i="35" s="1" a="1"/>
  <c r="AH89" i="35" s="1"/>
  <c r="AH90" i="35" s="1" a="1"/>
  <c r="AH90" i="35" s="1"/>
  <c r="AH91" i="35" s="1" a="1"/>
  <c r="AH91" i="35" s="1"/>
  <c r="AH92" i="35" s="1" a="1"/>
  <c r="AH92" i="35" s="1"/>
  <c r="AH93" i="35" s="1" a="1"/>
  <c r="AH93" i="35" s="1"/>
  <c r="AH94" i="35" s="1" a="1"/>
  <c r="AH94" i="35" s="1"/>
  <c r="AH95" i="35" s="1" a="1"/>
  <c r="AH95" i="35" s="1"/>
  <c r="AH96" i="35" s="1" a="1"/>
  <c r="AH96" i="35" s="1"/>
  <c r="AH97" i="35" s="1" a="1"/>
  <c r="AH97" i="35" s="1"/>
  <c r="AH98" i="35" s="1" a="1"/>
  <c r="AH98" i="35" s="1"/>
  <c r="AH99" i="35" s="1" a="1"/>
  <c r="AH99" i="35" s="1"/>
  <c r="AH100" i="35" s="1" a="1"/>
  <c r="AH100" i="35" s="1"/>
  <c r="AH101" i="35" s="1" a="1"/>
  <c r="AH101" i="35" s="1"/>
  <c r="AH102" i="35" s="1" a="1"/>
  <c r="AH102" i="35" s="1"/>
  <c r="AH103" i="35" s="1" a="1"/>
  <c r="AH103" i="35" s="1"/>
  <c r="AH104" i="35" s="1" a="1"/>
  <c r="AH104" i="35" s="1"/>
  <c r="AH105" i="35" s="1" a="1"/>
  <c r="AH105" i="35" s="1"/>
  <c r="AH106" i="35" s="1" a="1"/>
  <c r="AH106" i="35" s="1"/>
  <c r="AH107" i="35" s="1" a="1"/>
  <c r="AH107" i="35" s="1"/>
  <c r="AH108" i="35" s="1" a="1"/>
  <c r="AH108" i="35" s="1"/>
  <c r="AH109" i="35" s="1" a="1"/>
  <c r="AH109" i="35" s="1"/>
  <c r="AH110" i="35" s="1" a="1"/>
  <c r="AH110" i="35" s="1"/>
  <c r="AH111" i="35" s="1" a="1"/>
  <c r="AH111" i="35" s="1"/>
  <c r="AH112" i="35" s="1" a="1"/>
  <c r="AH112" i="35" s="1"/>
  <c r="AH113" i="35" s="1" a="1"/>
  <c r="AH113" i="35" s="1"/>
  <c r="AH114" i="35" s="1" a="1"/>
  <c r="AH114" i="35" s="1"/>
  <c r="AH115" i="35" s="1" a="1"/>
  <c r="AH115" i="35" s="1"/>
  <c r="AH116" i="35" s="1" a="1"/>
  <c r="AH116" i="35" s="1"/>
  <c r="AH117" i="35" s="1" a="1"/>
  <c r="AH117" i="35" s="1"/>
  <c r="AH118" i="35" s="1" a="1"/>
  <c r="AH118" i="35" s="1"/>
  <c r="AH119" i="35" s="1" a="1"/>
  <c r="AH119" i="35" s="1"/>
  <c r="AH120" i="35" s="1" a="1"/>
  <c r="AH120" i="35" s="1"/>
  <c r="AH121" i="35" s="1" a="1"/>
  <c r="AH121" i="35" s="1"/>
  <c r="AH122" i="35" s="1" a="1"/>
  <c r="AH122" i="35" s="1"/>
  <c r="AH123" i="35" s="1" a="1"/>
  <c r="AH123" i="35" s="1"/>
  <c r="AH124" i="35" s="1" a="1"/>
  <c r="AH124" i="35" s="1"/>
  <c r="AH125" i="35" s="1" a="1"/>
  <c r="AH125" i="35" s="1"/>
  <c r="AH126" i="35" s="1" a="1"/>
  <c r="AH126" i="35" s="1"/>
  <c r="AH127" i="35" s="1" a="1"/>
  <c r="AH127" i="35" s="1"/>
  <c r="AH128" i="35" s="1" a="1"/>
  <c r="AH128" i="35" s="1"/>
  <c r="AH129" i="35" s="1" a="1"/>
  <c r="AH129" i="35" s="1"/>
  <c r="AH130" i="35" s="1" a="1"/>
  <c r="AH130" i="35" s="1"/>
  <c r="AH131" i="35" s="1" a="1"/>
  <c r="AH131" i="35" s="1"/>
  <c r="AH132" i="35" s="1" a="1"/>
  <c r="AH132" i="35" s="1"/>
  <c r="AH133" i="35" s="1" a="1"/>
  <c r="AH133" i="35" s="1"/>
  <c r="AH134" i="35" s="1" a="1"/>
  <c r="AH134" i="35" s="1"/>
  <c r="AH135" i="35" s="1" a="1"/>
  <c r="AH135" i="35" s="1"/>
  <c r="AH136" i="35" s="1" a="1"/>
  <c r="AH136" i="35" s="1"/>
  <c r="AH137" i="35" s="1" a="1"/>
  <c r="AH137" i="35" s="1"/>
  <c r="AH138" i="35" s="1" a="1"/>
  <c r="AH138" i="35" s="1"/>
  <c r="AH139" i="35" s="1" a="1"/>
  <c r="AH139" i="35" s="1"/>
  <c r="AH140" i="35" s="1" a="1"/>
  <c r="AH140" i="35" s="1"/>
  <c r="AH141" i="35" s="1" a="1"/>
  <c r="AH141" i="35" s="1"/>
  <c r="AH142" i="35" s="1" a="1"/>
  <c r="AH142" i="35" s="1"/>
  <c r="AH143" i="35" s="1" a="1"/>
  <c r="AH143" i="35" s="1"/>
  <c r="AH144" i="35" s="1" a="1"/>
  <c r="AH144" i="35" s="1"/>
  <c r="AH145" i="35" s="1" a="1"/>
  <c r="AH145" i="35" s="1"/>
  <c r="AH146" i="35" s="1" a="1"/>
  <c r="AH146" i="35" s="1"/>
  <c r="AH147" i="35" s="1" a="1"/>
  <c r="AH147" i="35" s="1"/>
  <c r="AH148" i="35" s="1" a="1"/>
  <c r="AH148" i="35" s="1"/>
  <c r="AH149" i="35" s="1" a="1"/>
  <c r="AH149" i="35" s="1"/>
  <c r="AH150" i="35" s="1" a="1"/>
  <c r="AH150" i="35" s="1"/>
  <c r="AH151" i="35" s="1" a="1"/>
  <c r="AH151" i="35" s="1"/>
  <c r="AH152" i="35" s="1" a="1"/>
  <c r="AH152" i="35" s="1"/>
  <c r="AH153" i="35" s="1" a="1"/>
  <c r="AH153" i="35" s="1"/>
  <c r="AH154" i="35" s="1" a="1"/>
  <c r="AH154" i="35" s="1"/>
  <c r="AH155" i="35" s="1" a="1"/>
  <c r="AH155" i="35" s="1"/>
  <c r="AH156" i="35" s="1" a="1"/>
  <c r="AH156" i="35" s="1"/>
  <c r="AH157" i="35" s="1" a="1"/>
  <c r="AH157" i="35" s="1"/>
  <c r="AH158" i="35" s="1" a="1"/>
  <c r="AH158" i="35" s="1"/>
  <c r="AH159" i="35" s="1" a="1"/>
  <c r="AH159" i="35" s="1"/>
  <c r="AH160" i="35" s="1" a="1"/>
  <c r="AH160" i="35" s="1"/>
  <c r="AH161" i="35" s="1" a="1"/>
  <c r="AH161" i="35" s="1"/>
  <c r="AH162" i="35" s="1" a="1"/>
  <c r="AH162" i="35" s="1"/>
  <c r="AH163" i="35" s="1" a="1"/>
  <c r="AH163" i="35" s="1"/>
  <c r="AH164" i="35" s="1" a="1"/>
  <c r="AH164" i="35" s="1"/>
  <c r="AH165" i="35" s="1" a="1"/>
  <c r="AH165" i="35" s="1"/>
  <c r="AH166" i="35" s="1" a="1"/>
  <c r="AH166" i="35" s="1"/>
  <c r="AH167" i="35" s="1" a="1"/>
  <c r="AH167" i="35" s="1"/>
  <c r="AH168" i="35" s="1" a="1"/>
  <c r="AH168" i="35" s="1"/>
  <c r="AH169" i="35" s="1" a="1"/>
  <c r="AH169" i="35" s="1"/>
  <c r="AH170" i="35" s="1" a="1"/>
  <c r="AH170" i="35" s="1"/>
  <c r="AH171" i="35" s="1" a="1"/>
  <c r="AH171" i="35" s="1"/>
  <c r="AH172" i="35" s="1" a="1"/>
  <c r="AH172" i="35" s="1"/>
  <c r="AH173" i="35" s="1" a="1"/>
  <c r="AH173" i="35" s="1"/>
  <c r="AH174" i="35" s="1" a="1"/>
  <c r="AH174" i="35" s="1"/>
  <c r="AH175" i="35" s="1" a="1"/>
  <c r="AH175" i="35" s="1"/>
  <c r="AH176" i="35" s="1" a="1"/>
  <c r="AH176" i="35" s="1"/>
  <c r="AH177" i="35" s="1" a="1"/>
  <c r="AH177" i="35" s="1"/>
  <c r="AH178" i="35" s="1" a="1"/>
  <c r="AH178" i="35" s="1"/>
  <c r="AH179" i="35" s="1" a="1"/>
  <c r="AH179" i="35" s="1"/>
  <c r="AH180" i="35" s="1" a="1"/>
  <c r="AH180" i="35" s="1"/>
  <c r="AH181" i="35" s="1" a="1"/>
  <c r="AH181" i="35" s="1"/>
  <c r="AH182" i="35" s="1" a="1"/>
  <c r="AH182" i="35" s="1"/>
  <c r="AG20" i="35"/>
  <c r="AI21" i="35"/>
  <c r="AG19" i="35"/>
  <c r="AG21" i="35" l="1"/>
  <c r="AG22" i="35" l="1"/>
  <c r="AI22" i="35"/>
  <c r="AG23" i="35" l="1"/>
  <c r="AI23" i="35"/>
  <c r="AI24" i="35" l="1"/>
  <c r="AG24" i="35"/>
  <c r="AG25" i="35" l="1"/>
  <c r="AI25" i="35"/>
  <c r="AI26" i="35" l="1"/>
  <c r="AG26" i="35"/>
  <c r="AI27" i="35" l="1"/>
  <c r="AG27" i="35"/>
  <c r="AG28" i="35" l="1"/>
  <c r="AI28" i="35"/>
  <c r="AG29" i="35" l="1"/>
  <c r="AI29" i="35"/>
  <c r="AI30" i="35" l="1"/>
  <c r="AG30" i="35"/>
  <c r="AG31" i="35" l="1"/>
  <c r="AI31" i="35"/>
  <c r="AG32" i="35" l="1"/>
  <c r="AI32" i="35"/>
  <c r="AI33" i="35" l="1"/>
  <c r="AG33" i="35"/>
  <c r="AG34" i="35" l="1"/>
  <c r="AI34" i="35"/>
  <c r="AG35" i="35" l="1"/>
  <c r="AI35" i="35"/>
  <c r="AG36" i="35" l="1"/>
  <c r="AI36" i="35"/>
  <c r="AG37" i="35" l="1"/>
  <c r="AI37" i="35"/>
  <c r="AI38" i="35" l="1"/>
  <c r="AG38" i="35"/>
  <c r="AG39" i="35" l="1"/>
  <c r="AI39" i="35"/>
  <c r="AI40" i="35" l="1"/>
  <c r="AG40" i="35"/>
  <c r="AG41" i="35" l="1"/>
  <c r="AI41" i="35"/>
  <c r="AG42" i="35" l="1"/>
  <c r="AI42" i="35"/>
  <c r="AG43" i="35" l="1"/>
  <c r="AI43" i="35"/>
  <c r="AI44" i="35" l="1"/>
  <c r="AG44" i="35"/>
  <c r="AG45" i="35" l="1"/>
  <c r="AI45" i="35"/>
  <c r="AI46" i="35" l="1"/>
  <c r="AG46" i="35"/>
  <c r="AI47" i="35" l="1"/>
  <c r="AG47" i="35"/>
  <c r="AI48" i="35" l="1"/>
  <c r="AG48" i="35"/>
  <c r="AG49" i="35" l="1"/>
  <c r="AI49" i="35"/>
  <c r="AI50" i="35" l="1"/>
  <c r="AG50" i="35"/>
  <c r="AG52" i="35" l="1"/>
  <c r="AI53" i="35"/>
  <c r="AI52" i="35"/>
  <c r="AG51" i="35"/>
  <c r="AI51" i="35"/>
  <c r="AG53" i="35" l="1"/>
  <c r="AG54" i="35"/>
  <c r="AI54" i="35" l="1"/>
  <c r="AG55" i="35"/>
  <c r="AI55" i="35" l="1"/>
  <c r="AG56" i="35"/>
  <c r="AI56" i="35" l="1"/>
  <c r="AG57" i="35"/>
  <c r="AI57" i="35" l="1"/>
  <c r="AG58" i="35"/>
  <c r="AI58" i="35" l="1"/>
  <c r="AG59" i="35"/>
  <c r="AI59" i="35" l="1"/>
  <c r="AG60" i="35"/>
  <c r="AI60" i="35" l="1"/>
  <c r="AG61" i="35"/>
  <c r="AI61" i="35" l="1"/>
  <c r="AG62" i="35"/>
  <c r="AI62" i="35" l="1"/>
  <c r="AG63" i="35"/>
  <c r="AI63" i="35" l="1"/>
  <c r="AG64" i="35"/>
  <c r="AI64" i="35" l="1"/>
  <c r="AG65" i="35"/>
  <c r="AI65" i="35" l="1"/>
  <c r="AG66" i="35"/>
  <c r="AI66" i="35" l="1"/>
  <c r="AG67" i="35"/>
  <c r="AI67" i="35" l="1"/>
  <c r="AG68" i="35"/>
  <c r="AI68" i="35" l="1"/>
  <c r="AG69" i="35"/>
  <c r="AI69" i="35" l="1"/>
  <c r="AG70" i="35"/>
  <c r="AI70" i="35" l="1"/>
  <c r="AG71" i="35"/>
  <c r="AI71" i="35" l="1"/>
  <c r="AG72" i="35"/>
  <c r="AI72" i="35" l="1"/>
  <c r="AG73" i="35"/>
  <c r="AI73" i="35" l="1"/>
  <c r="AG74" i="35"/>
  <c r="AI74" i="35" l="1"/>
  <c r="AG75" i="35"/>
  <c r="AI75" i="35" l="1"/>
  <c r="AG76" i="35"/>
  <c r="AI76" i="35" l="1"/>
  <c r="AG77" i="35"/>
  <c r="AI77" i="35" l="1"/>
  <c r="AG78" i="35"/>
  <c r="AI78" i="35" l="1"/>
  <c r="AG79" i="35"/>
  <c r="AI79" i="35" l="1"/>
  <c r="AG80" i="35"/>
  <c r="AI80" i="35" l="1"/>
  <c r="AG81" i="35"/>
  <c r="AI81" i="35" l="1"/>
  <c r="AG82" i="35"/>
  <c r="AI82" i="35" l="1"/>
  <c r="AG83" i="35"/>
  <c r="AI83" i="35" l="1"/>
  <c r="AG84" i="35"/>
  <c r="AI84" i="35" l="1"/>
  <c r="AG85" i="35"/>
  <c r="AI85" i="35" l="1"/>
  <c r="AG86" i="35"/>
  <c r="AI86" i="35" l="1"/>
  <c r="AG87" i="35"/>
  <c r="AI87" i="35" l="1"/>
  <c r="AG88" i="35"/>
  <c r="AI88" i="35" l="1"/>
  <c r="AG89" i="35"/>
  <c r="AI89" i="35" l="1"/>
  <c r="AG90" i="35"/>
  <c r="AI90" i="35" l="1"/>
  <c r="AG91" i="35"/>
  <c r="AI91" i="35" l="1"/>
  <c r="AG92" i="35"/>
  <c r="AI92" i="35" l="1"/>
  <c r="AG93" i="35"/>
  <c r="AI93" i="35" l="1"/>
  <c r="AG94" i="35"/>
  <c r="AI94" i="35" l="1"/>
  <c r="AG95" i="35"/>
  <c r="AI95" i="35" l="1"/>
  <c r="AG96" i="35"/>
  <c r="AI96" i="35" l="1"/>
  <c r="AG97" i="35"/>
  <c r="AI97" i="35" l="1"/>
  <c r="AG98" i="35"/>
  <c r="AI98" i="35" l="1"/>
  <c r="AG99" i="35"/>
  <c r="AI99" i="35" l="1"/>
  <c r="AG100" i="35"/>
  <c r="AI100" i="35" l="1"/>
  <c r="AG101" i="35"/>
  <c r="AI101" i="35" l="1"/>
  <c r="AG102" i="35"/>
  <c r="AI102" i="35" l="1"/>
  <c r="AG103" i="35"/>
  <c r="AI103" i="35" l="1"/>
  <c r="AG104" i="35"/>
  <c r="AI104" i="35" l="1"/>
  <c r="AG105" i="35"/>
  <c r="AI105" i="35" l="1"/>
  <c r="AG106" i="35"/>
  <c r="AI106" i="35" l="1"/>
  <c r="AG107" i="35"/>
  <c r="AI107" i="35" l="1"/>
  <c r="AG108" i="35"/>
  <c r="AI108" i="35" l="1"/>
  <c r="AG109" i="35"/>
  <c r="AI109" i="35" l="1"/>
  <c r="AG110" i="35"/>
  <c r="AI110" i="35" l="1"/>
  <c r="AG111" i="35"/>
  <c r="AI111" i="35" l="1"/>
  <c r="AG112" i="35"/>
  <c r="AI112" i="35" l="1"/>
  <c r="AG113" i="35"/>
  <c r="AI113" i="35" l="1"/>
  <c r="AG114" i="35"/>
  <c r="AI114" i="35" l="1"/>
  <c r="AG115" i="35"/>
  <c r="AI115" i="35" l="1"/>
  <c r="AG116" i="35"/>
  <c r="AI116" i="35" l="1"/>
  <c r="AG117" i="35"/>
  <c r="AI117" i="35" l="1"/>
  <c r="AG118" i="35"/>
  <c r="AI118" i="35" l="1"/>
  <c r="AG119" i="35"/>
  <c r="AI119" i="35" l="1"/>
  <c r="AG120" i="35"/>
  <c r="AI120" i="35" l="1"/>
  <c r="AG121" i="35"/>
  <c r="AI121" i="35" l="1"/>
  <c r="AG122" i="35"/>
  <c r="AI122" i="35" l="1"/>
  <c r="AG123" i="35"/>
  <c r="AI123" i="35" l="1"/>
  <c r="AG124" i="35"/>
  <c r="AI124" i="35" l="1"/>
  <c r="AG125" i="35"/>
  <c r="AI125" i="35" l="1"/>
  <c r="AG126" i="35"/>
  <c r="AI126" i="35" l="1"/>
  <c r="AG127" i="35"/>
  <c r="AI127" i="35" l="1"/>
  <c r="AG128" i="35"/>
  <c r="AI128" i="35" l="1"/>
  <c r="AG129" i="35"/>
  <c r="AI129" i="35" l="1"/>
  <c r="AG130" i="35"/>
  <c r="AI130" i="35" l="1"/>
  <c r="AG131" i="35"/>
  <c r="AI131" i="35" l="1"/>
  <c r="AG132" i="35"/>
  <c r="AI132" i="35" l="1"/>
  <c r="AG133" i="35"/>
  <c r="AI133" i="35" l="1"/>
  <c r="AG134" i="35"/>
  <c r="AI134" i="35" l="1"/>
  <c r="AG135" i="35"/>
  <c r="AI135" i="35" l="1"/>
  <c r="AG136" i="35"/>
  <c r="AI136" i="35" l="1"/>
  <c r="AG137" i="35"/>
  <c r="AI137" i="35" l="1"/>
  <c r="AG138" i="35"/>
  <c r="AI138" i="35" l="1"/>
  <c r="AG139" i="35"/>
  <c r="AI139" i="35" l="1"/>
  <c r="AG140" i="35"/>
  <c r="AI140" i="35" l="1"/>
  <c r="AG141" i="35"/>
  <c r="AI141" i="35" l="1"/>
  <c r="AG142" i="35"/>
  <c r="AI142" i="35"/>
  <c r="AG143" i="35" l="1"/>
  <c r="AI143" i="35"/>
  <c r="AG144" i="35" l="1"/>
  <c r="AI144" i="35"/>
  <c r="AG145" i="35" l="1"/>
  <c r="AI145" i="35"/>
  <c r="AG146" i="35" l="1"/>
  <c r="AI146" i="35"/>
  <c r="AG147" i="35" l="1"/>
  <c r="AI147" i="35" l="1"/>
  <c r="AG148" i="35"/>
  <c r="AI148" i="35"/>
  <c r="AG149" i="35" l="1"/>
  <c r="AI149" i="35"/>
  <c r="AG150" i="35" l="1"/>
  <c r="AI150" i="35"/>
  <c r="AG151" i="35" l="1"/>
  <c r="AI151" i="35"/>
  <c r="AG152" i="35" l="1"/>
  <c r="AI152" i="35"/>
  <c r="AG153" i="35" l="1"/>
  <c r="AI153" i="35"/>
  <c r="AG154" i="35" l="1"/>
  <c r="AI154" i="35"/>
  <c r="AI155" i="35" l="1"/>
  <c r="AG155" i="35" l="1"/>
  <c r="AI156" i="35"/>
  <c r="AG156" i="35"/>
  <c r="AI157" i="35" l="1"/>
  <c r="AG157" i="35" l="1"/>
  <c r="AI158" i="35"/>
  <c r="AG158" i="35"/>
  <c r="AI159" i="35" l="1"/>
  <c r="AG159" i="35" l="1"/>
  <c r="AI160" i="35"/>
  <c r="AG160" i="35"/>
  <c r="AI161" i="35" l="1"/>
  <c r="AG161" i="35" l="1"/>
  <c r="AB9" i="35" s="1"/>
  <c r="AG163" i="35"/>
  <c r="AB11" i="35" l="1"/>
  <c r="L186" i="35" s="1"/>
  <c r="AG164" i="35"/>
  <c r="L200" i="35" l="1"/>
  <c r="L193" i="35"/>
  <c r="AB12" i="35"/>
  <c r="L34" i="35"/>
  <c r="AG165" i="35"/>
  <c r="L35" i="35" l="1"/>
  <c r="L187" i="35"/>
  <c r="AB13" i="35"/>
  <c r="L36" i="35" s="1"/>
  <c r="AG166" i="35"/>
  <c r="AB14" i="35" l="1"/>
  <c r="AB15" i="35" s="1"/>
  <c r="AB16" i="35" s="1"/>
  <c r="L39" i="35" s="1"/>
  <c r="L37" i="35"/>
  <c r="AG167" i="35"/>
  <c r="AB17" i="35" l="1"/>
  <c r="L38" i="35"/>
  <c r="AG168" i="35"/>
  <c r="L40" i="35" l="1"/>
  <c r="AB18" i="35"/>
  <c r="AG169" i="35"/>
  <c r="AB19" i="35" l="1"/>
  <c r="AB20" i="35" s="1"/>
  <c r="L44" i="35" s="1"/>
  <c r="AG170" i="35"/>
  <c r="L41" i="35" l="1"/>
  <c r="AB22" i="35"/>
  <c r="T10" i="35" s="1"/>
  <c r="L43" i="35"/>
  <c r="L42" i="35"/>
  <c r="L321" i="35"/>
  <c r="AG171" i="35"/>
  <c r="T11" i="35" l="1"/>
  <c r="AG172" i="35"/>
  <c r="T12" i="35" l="1"/>
  <c r="L326" i="35" s="1"/>
  <c r="AG173" i="35"/>
  <c r="T13" i="35" l="1"/>
  <c r="L45" i="35"/>
  <c r="AG174" i="35"/>
  <c r="T14" i="35" l="1"/>
  <c r="L324" i="35" s="1"/>
  <c r="L46" i="35"/>
  <c r="AG175" i="35"/>
  <c r="T15" i="35" l="1"/>
  <c r="L325" i="35" s="1"/>
  <c r="L47" i="35"/>
  <c r="AG176" i="35"/>
  <c r="T16" i="35" l="1"/>
  <c r="L48" i="35"/>
  <c r="AG177" i="35"/>
  <c r="T20" i="35" l="1"/>
  <c r="T18" i="35" s="1"/>
  <c r="L327" i="35"/>
  <c r="L51" i="35"/>
  <c r="L49" i="35"/>
  <c r="AG178" i="35"/>
  <c r="L50" i="35" l="1"/>
  <c r="AG179" i="35"/>
  <c r="AG180" i="35" l="1"/>
  <c r="L55" i="35" l="1"/>
  <c r="AG181" i="35"/>
  <c r="AG182" i="35" l="1"/>
  <c r="AG183" i="35" l="1"/>
  <c r="AG184" i="35" l="1"/>
  <c r="AG185" i="35" l="1"/>
  <c r="AG186" i="35" l="1"/>
  <c r="AG187" i="35" l="1"/>
  <c r="AG188" i="35" l="1"/>
  <c r="AG189" i="35" l="1"/>
  <c r="AG190" i="35" l="1"/>
  <c r="AG191" i="35" l="1"/>
  <c r="AG192" i="35" l="1"/>
  <c r="AG193" i="35" l="1"/>
  <c r="AG194" i="35" l="1"/>
  <c r="AG195" i="35" l="1"/>
  <c r="AG196" i="35" l="1"/>
  <c r="AG197" i="35" l="1"/>
  <c r="AG198" i="35" l="1"/>
  <c r="AG199" i="35" l="1"/>
  <c r="AG200" i="35" l="1"/>
  <c r="AG201" i="35" l="1"/>
  <c r="AG202" i="35" l="1"/>
  <c r="AG203" i="35" l="1"/>
  <c r="AG204" i="35" l="1"/>
  <c r="AG205" i="35" l="1"/>
  <c r="AG206" i="35" l="1"/>
  <c r="AG207" i="35" l="1"/>
  <c r="AG208" i="35" l="1"/>
  <c r="AG209" i="35" l="1"/>
  <c r="AG210" i="35" l="1"/>
  <c r="AG211" i="35" l="1"/>
  <c r="AG212" i="35" l="1"/>
  <c r="AG213" i="35" l="1"/>
  <c r="AG214" i="35" l="1"/>
  <c r="AG215" i="35" l="1"/>
  <c r="AG216" i="35" l="1"/>
  <c r="AG217" i="35" l="1"/>
  <c r="AG218" i="35" l="1"/>
  <c r="AG219" i="35" l="1"/>
  <c r="AG220" i="35" l="1"/>
  <c r="AG221" i="35" l="1"/>
  <c r="AG222" i="35" l="1"/>
  <c r="AG223" i="35" l="1"/>
  <c r="AG224" i="35" l="1"/>
  <c r="AG225" i="35" l="1"/>
  <c r="AG226" i="35" l="1"/>
  <c r="AG227" i="35" l="1"/>
  <c r="AG228" i="35" l="1"/>
  <c r="AG229" i="35" l="1"/>
  <c r="AG230" i="35" l="1"/>
  <c r="AG231" i="35" l="1"/>
  <c r="AG232" i="35" l="1"/>
  <c r="AG233" i="35" l="1"/>
  <c r="AG234" i="35" l="1"/>
  <c r="AG235" i="35" l="1"/>
  <c r="AG236" i="35" l="1"/>
  <c r="AG237" i="35" l="1"/>
  <c r="AG238" i="35" l="1"/>
  <c r="AG239" i="35" l="1"/>
  <c r="AG240" i="35" l="1"/>
  <c r="AG241" i="35" l="1"/>
  <c r="AG242" i="35" l="1"/>
  <c r="AG243" i="35" l="1"/>
  <c r="AG244" i="35" l="1"/>
  <c r="AG245" i="35" l="1"/>
  <c r="AG246" i="35" l="1"/>
  <c r="AG247" i="35" l="1"/>
  <c r="AG248" i="35" l="1"/>
  <c r="AG249" i="35" l="1"/>
  <c r="AG250" i="35" l="1"/>
  <c r="AG251" i="35" l="1"/>
  <c r="AG252" i="35" l="1"/>
  <c r="AG253" i="35" l="1"/>
  <c r="AG254" i="35" l="1"/>
  <c r="AG255" i="35" l="1"/>
  <c r="AG256" i="35" l="1"/>
  <c r="AG257" i="35" l="1"/>
  <c r="AG258" i="35" l="1"/>
  <c r="AG259" i="35" l="1"/>
  <c r="AG260" i="35" l="1"/>
  <c r="AG261" i="35" l="1"/>
  <c r="AG262" i="35" l="1"/>
  <c r="AG263" i="35" l="1"/>
  <c r="AG264" i="35" l="1"/>
  <c r="AG265" i="35" l="1"/>
  <c r="AG266" i="35" l="1"/>
  <c r="AG267" i="35" l="1"/>
  <c r="AG268" i="35" l="1"/>
  <c r="AG269" i="35" l="1"/>
  <c r="AG270" i="35" l="1"/>
  <c r="AG271" i="35" l="1"/>
  <c r="E12" i="20" l="1"/>
  <c r="D12" i="20"/>
  <c r="C12" i="20"/>
  <c r="B12" i="20"/>
  <c r="E11" i="20"/>
  <c r="D11" i="20"/>
  <c r="C11" i="20"/>
  <c r="B11" i="20"/>
  <c r="E10" i="20"/>
  <c r="D10" i="20"/>
  <c r="C10" i="20"/>
  <c r="L24" i="29" l="1"/>
  <c r="K24" i="29"/>
  <c r="L22" i="29"/>
  <c r="K22" i="29"/>
  <c r="L21" i="29"/>
  <c r="K21" i="29"/>
  <c r="L20" i="29"/>
  <c r="K20" i="29"/>
  <c r="L19" i="29"/>
  <c r="K19" i="29"/>
  <c r="L18" i="29"/>
  <c r="K18" i="29"/>
  <c r="L17" i="29"/>
  <c r="K17" i="29"/>
  <c r="L16" i="29"/>
  <c r="K16" i="29"/>
  <c r="L15" i="29"/>
  <c r="K25" i="32" s="1"/>
  <c r="K171" i="33" s="1"/>
  <c r="K15" i="29"/>
  <c r="L14" i="29"/>
  <c r="K14" i="29"/>
  <c r="L12" i="29"/>
  <c r="K12" i="29"/>
  <c r="L11" i="29"/>
  <c r="K11" i="29"/>
  <c r="L10" i="29"/>
  <c r="K10" i="29"/>
  <c r="L9" i="29"/>
  <c r="K9" i="29"/>
  <c r="L8" i="29"/>
  <c r="K8" i="29"/>
  <c r="L7" i="29"/>
  <c r="K7" i="29"/>
  <c r="L6" i="29"/>
  <c r="K6" i="29"/>
  <c r="L5" i="29"/>
  <c r="K5" i="29"/>
  <c r="J24" i="32" l="1"/>
  <c r="AC24" i="32" s="1"/>
  <c r="J25" i="32"/>
  <c r="K22" i="32"/>
  <c r="K24" i="32"/>
  <c r="K170" i="33" s="1"/>
  <c r="L21" i="33"/>
  <c r="K23" i="32"/>
  <c r="K21" i="33"/>
  <c r="AD21" i="33" s="1"/>
  <c r="J23" i="32"/>
  <c r="K19" i="33"/>
  <c r="AB19" i="33" s="1"/>
  <c r="J22" i="32"/>
  <c r="L19" i="33"/>
  <c r="U21" i="33"/>
  <c r="Y21" i="33" s="1"/>
  <c r="Z21" i="33"/>
  <c r="K35" i="33"/>
  <c r="K28" i="33"/>
  <c r="L35" i="33"/>
  <c r="L28" i="33"/>
  <c r="Z35" i="33"/>
  <c r="K22" i="33"/>
  <c r="J28" i="32"/>
  <c r="S28" i="32" s="1"/>
  <c r="L22" i="33"/>
  <c r="K28" i="32"/>
  <c r="U22" i="33"/>
  <c r="Y22" i="33" s="1"/>
  <c r="A2" i="26"/>
  <c r="A3" i="26"/>
  <c r="A3" i="25"/>
  <c r="A2" i="25"/>
  <c r="A3" i="22"/>
  <c r="A2" i="22"/>
  <c r="A2" i="20"/>
  <c r="A3" i="20"/>
  <c r="A2" i="17"/>
  <c r="A3" i="17"/>
  <c r="A2" i="14"/>
  <c r="A3" i="14"/>
  <c r="A2" i="5"/>
  <c r="A3" i="5"/>
  <c r="A51" i="25"/>
  <c r="I6" i="26"/>
  <c r="G28" i="25" s="1"/>
  <c r="A44" i="25"/>
  <c r="A43" i="25"/>
  <c r="A40" i="25"/>
  <c r="A37" i="25"/>
  <c r="A36" i="25"/>
  <c r="A33" i="25"/>
  <c r="A32" i="25"/>
  <c r="A9" i="25"/>
  <c r="A8" i="25"/>
  <c r="U145" i="22"/>
  <c r="V145" i="22" s="1"/>
  <c r="S145" i="22"/>
  <c r="R145" i="22"/>
  <c r="U144" i="22"/>
  <c r="V144" i="22" s="1"/>
  <c r="S144" i="22"/>
  <c r="R144" i="22"/>
  <c r="U143" i="22"/>
  <c r="V143" i="22" s="1"/>
  <c r="S143" i="22"/>
  <c r="R143" i="22"/>
  <c r="U142" i="22"/>
  <c r="V142" i="22" s="1"/>
  <c r="S142" i="22"/>
  <c r="R142" i="22"/>
  <c r="U141" i="22"/>
  <c r="V141" i="22" s="1"/>
  <c r="S141" i="22"/>
  <c r="R141" i="22"/>
  <c r="U140" i="22"/>
  <c r="V140" i="22" s="1"/>
  <c r="S140" i="22"/>
  <c r="R140" i="22"/>
  <c r="U139" i="22"/>
  <c r="V139" i="22" s="1"/>
  <c r="S139" i="22"/>
  <c r="R139" i="22"/>
  <c r="U138" i="22"/>
  <c r="V138" i="22" s="1"/>
  <c r="S138" i="22"/>
  <c r="R138" i="22"/>
  <c r="U137" i="22"/>
  <c r="V137" i="22" s="1"/>
  <c r="S137" i="22"/>
  <c r="R137" i="22"/>
  <c r="U136" i="22"/>
  <c r="V136" i="22" s="1"/>
  <c r="S136" i="22"/>
  <c r="R136" i="22"/>
  <c r="U135" i="22"/>
  <c r="V135" i="22" s="1"/>
  <c r="S135" i="22"/>
  <c r="R135" i="22"/>
  <c r="U134" i="22"/>
  <c r="V134" i="22" s="1"/>
  <c r="S134" i="22"/>
  <c r="R134" i="22"/>
  <c r="U133" i="22"/>
  <c r="V133" i="22" s="1"/>
  <c r="S133" i="22"/>
  <c r="R133" i="22"/>
  <c r="U132" i="22"/>
  <c r="V132" i="22" s="1"/>
  <c r="S132" i="22"/>
  <c r="R132" i="22"/>
  <c r="U131" i="22"/>
  <c r="V131" i="22" s="1"/>
  <c r="S131" i="22"/>
  <c r="R131" i="22"/>
  <c r="U130" i="22"/>
  <c r="V130" i="22" s="1"/>
  <c r="S130" i="22"/>
  <c r="R130" i="22"/>
  <c r="U129" i="22"/>
  <c r="V129" i="22" s="1"/>
  <c r="S129" i="22"/>
  <c r="R129" i="22"/>
  <c r="U128" i="22"/>
  <c r="V128" i="22" s="1"/>
  <c r="S128" i="22"/>
  <c r="R128" i="22"/>
  <c r="U127" i="22"/>
  <c r="V127" i="22" s="1"/>
  <c r="S127" i="22"/>
  <c r="R127" i="22"/>
  <c r="U126" i="22"/>
  <c r="V126" i="22" s="1"/>
  <c r="S126" i="22"/>
  <c r="R126" i="22"/>
  <c r="U125" i="22"/>
  <c r="V125" i="22" s="1"/>
  <c r="S125" i="22"/>
  <c r="R125" i="22"/>
  <c r="U124" i="22"/>
  <c r="V124" i="22" s="1"/>
  <c r="S124" i="22"/>
  <c r="R124" i="22"/>
  <c r="U123" i="22"/>
  <c r="V123" i="22" s="1"/>
  <c r="S123" i="22"/>
  <c r="R123" i="22"/>
  <c r="U122" i="22"/>
  <c r="V122" i="22" s="1"/>
  <c r="S122" i="22"/>
  <c r="R122" i="22"/>
  <c r="U121" i="22"/>
  <c r="V121" i="22" s="1"/>
  <c r="S121" i="22"/>
  <c r="R121" i="22"/>
  <c r="U120" i="22"/>
  <c r="V120" i="22" s="1"/>
  <c r="S120" i="22"/>
  <c r="R120" i="22"/>
  <c r="U119" i="22"/>
  <c r="V119" i="22" s="1"/>
  <c r="S119" i="22"/>
  <c r="R119" i="22"/>
  <c r="U118" i="22"/>
  <c r="V118" i="22" s="1"/>
  <c r="S118" i="22"/>
  <c r="R118" i="22"/>
  <c r="U117" i="22"/>
  <c r="V117" i="22" s="1"/>
  <c r="S117" i="22"/>
  <c r="R117" i="22"/>
  <c r="U116" i="22"/>
  <c r="V116" i="22" s="1"/>
  <c r="S116" i="22"/>
  <c r="R116" i="22"/>
  <c r="U115" i="22"/>
  <c r="V115" i="22" s="1"/>
  <c r="S115" i="22"/>
  <c r="R115" i="22"/>
  <c r="U114" i="22"/>
  <c r="V114" i="22" s="1"/>
  <c r="S114" i="22"/>
  <c r="R114" i="22"/>
  <c r="U113" i="22"/>
  <c r="V113" i="22" s="1"/>
  <c r="S113" i="22"/>
  <c r="R113" i="22"/>
  <c r="U112" i="22"/>
  <c r="V112" i="22" s="1"/>
  <c r="S112" i="22"/>
  <c r="R112" i="22"/>
  <c r="U111" i="22"/>
  <c r="V111" i="22" s="1"/>
  <c r="S111" i="22"/>
  <c r="R111" i="22"/>
  <c r="U110" i="22"/>
  <c r="V110" i="22" s="1"/>
  <c r="S110" i="22"/>
  <c r="R110" i="22"/>
  <c r="U109" i="22"/>
  <c r="V109" i="22" s="1"/>
  <c r="S109" i="22"/>
  <c r="R109" i="22"/>
  <c r="U108" i="22"/>
  <c r="V108" i="22" s="1"/>
  <c r="S108" i="22"/>
  <c r="R108" i="22"/>
  <c r="U107" i="22"/>
  <c r="V107" i="22" s="1"/>
  <c r="S107" i="22"/>
  <c r="R107" i="22"/>
  <c r="U106" i="22"/>
  <c r="V106" i="22" s="1"/>
  <c r="S106" i="22"/>
  <c r="R106" i="22"/>
  <c r="U55" i="22"/>
  <c r="V55" i="22" s="1"/>
  <c r="S55" i="22"/>
  <c r="R55" i="22"/>
  <c r="U54" i="22"/>
  <c r="V54" i="22" s="1"/>
  <c r="S54" i="22"/>
  <c r="R54" i="22"/>
  <c r="U53" i="22"/>
  <c r="V53" i="22" s="1"/>
  <c r="S53" i="22"/>
  <c r="R53" i="22"/>
  <c r="U52" i="22"/>
  <c r="V52" i="22" s="1"/>
  <c r="S52" i="22"/>
  <c r="R52" i="22"/>
  <c r="U51" i="22"/>
  <c r="V51" i="22" s="1"/>
  <c r="S51" i="22"/>
  <c r="R51" i="22"/>
  <c r="U50" i="22"/>
  <c r="V50" i="22" s="1"/>
  <c r="S50" i="22"/>
  <c r="R50" i="22"/>
  <c r="U49" i="22"/>
  <c r="V49" i="22" s="1"/>
  <c r="S49" i="22"/>
  <c r="R49" i="22"/>
  <c r="U48" i="22"/>
  <c r="V48" i="22" s="1"/>
  <c r="S48" i="22"/>
  <c r="R48" i="22"/>
  <c r="U47" i="22"/>
  <c r="V47" i="22" s="1"/>
  <c r="S47" i="22"/>
  <c r="R47" i="22"/>
  <c r="U46" i="22"/>
  <c r="V46" i="22" s="1"/>
  <c r="S46" i="22"/>
  <c r="R46" i="22"/>
  <c r="U45" i="22"/>
  <c r="V45" i="22" s="1"/>
  <c r="S45" i="22"/>
  <c r="R45" i="22"/>
  <c r="U44" i="22"/>
  <c r="V44" i="22" s="1"/>
  <c r="S44" i="22"/>
  <c r="R44" i="22"/>
  <c r="U43" i="22"/>
  <c r="V43" i="22" s="1"/>
  <c r="S43" i="22"/>
  <c r="R43" i="22"/>
  <c r="U42" i="22"/>
  <c r="V42" i="22" s="1"/>
  <c r="S42" i="22"/>
  <c r="R42" i="22"/>
  <c r="U41" i="22"/>
  <c r="V41" i="22" s="1"/>
  <c r="S41" i="22"/>
  <c r="R41" i="22"/>
  <c r="U40" i="22"/>
  <c r="V40" i="22" s="1"/>
  <c r="S40" i="22"/>
  <c r="R40" i="22"/>
  <c r="U39" i="22"/>
  <c r="V39" i="22" s="1"/>
  <c r="S39" i="22"/>
  <c r="R39" i="22"/>
  <c r="U38" i="22"/>
  <c r="V38" i="22" s="1"/>
  <c r="S38" i="22"/>
  <c r="R38" i="22"/>
  <c r="U37" i="22"/>
  <c r="V37" i="22" s="1"/>
  <c r="S37" i="22"/>
  <c r="R37" i="22"/>
  <c r="U36" i="22"/>
  <c r="V36" i="22" s="1"/>
  <c r="S36" i="22"/>
  <c r="R36" i="22"/>
  <c r="U35" i="22"/>
  <c r="V35" i="22" s="1"/>
  <c r="S35" i="22"/>
  <c r="R35" i="22"/>
  <c r="U34" i="22"/>
  <c r="V34" i="22" s="1"/>
  <c r="S34" i="22"/>
  <c r="R34" i="22"/>
  <c r="U33" i="22"/>
  <c r="V33" i="22" s="1"/>
  <c r="S33" i="22"/>
  <c r="R33" i="22"/>
  <c r="U32" i="22"/>
  <c r="V32" i="22" s="1"/>
  <c r="S32" i="22"/>
  <c r="R32" i="22"/>
  <c r="U31" i="22"/>
  <c r="V31" i="22" s="1"/>
  <c r="S31" i="22"/>
  <c r="R31" i="22"/>
  <c r="U30" i="22"/>
  <c r="V30" i="22" s="1"/>
  <c r="S30" i="22"/>
  <c r="R30" i="22"/>
  <c r="U29" i="22"/>
  <c r="V29" i="22" s="1"/>
  <c r="S29" i="22"/>
  <c r="R29" i="22"/>
  <c r="T29" i="22" s="1"/>
  <c r="U28" i="22"/>
  <c r="V28" i="22" s="1"/>
  <c r="S28" i="22"/>
  <c r="R28" i="22"/>
  <c r="T28" i="22" s="1"/>
  <c r="U27" i="22"/>
  <c r="V27" i="22" s="1"/>
  <c r="S27" i="22"/>
  <c r="R27" i="22"/>
  <c r="T27" i="22" s="1"/>
  <c r="U26" i="22"/>
  <c r="V26" i="22" s="1"/>
  <c r="S26" i="22"/>
  <c r="R26" i="22"/>
  <c r="T26" i="22" s="1"/>
  <c r="U25" i="22"/>
  <c r="V25" i="22" s="1"/>
  <c r="S25" i="22"/>
  <c r="R25" i="22"/>
  <c r="T25" i="22" s="1"/>
  <c r="U24" i="22"/>
  <c r="V24" i="22" s="1"/>
  <c r="S24" i="22"/>
  <c r="R24" i="22"/>
  <c r="T24" i="22" s="1"/>
  <c r="U23" i="22"/>
  <c r="V23" i="22" s="1"/>
  <c r="S23" i="22"/>
  <c r="R23" i="22"/>
  <c r="T23" i="22" s="1"/>
  <c r="U22" i="22"/>
  <c r="V22" i="22" s="1"/>
  <c r="S22" i="22"/>
  <c r="R22" i="22"/>
  <c r="T22" i="22" s="1"/>
  <c r="U21" i="22"/>
  <c r="V21" i="22" s="1"/>
  <c r="S21" i="22"/>
  <c r="R21" i="22"/>
  <c r="T21" i="22" s="1"/>
  <c r="U20" i="22"/>
  <c r="V20" i="22" s="1"/>
  <c r="S20" i="22"/>
  <c r="R20" i="22"/>
  <c r="U19" i="22"/>
  <c r="V19" i="22" s="1"/>
  <c r="S19" i="22"/>
  <c r="R19" i="22"/>
  <c r="U18" i="22"/>
  <c r="V18" i="22" s="1"/>
  <c r="S18" i="22"/>
  <c r="R18" i="22"/>
  <c r="U17" i="22"/>
  <c r="V17" i="22" s="1"/>
  <c r="S17" i="22"/>
  <c r="R17" i="22"/>
  <c r="U16" i="22"/>
  <c r="V16" i="22" s="1"/>
  <c r="S16" i="22"/>
  <c r="R16" i="22"/>
  <c r="H26" i="17"/>
  <c r="G26" i="17"/>
  <c r="F26" i="17"/>
  <c r="E26" i="17"/>
  <c r="H23" i="17"/>
  <c r="G23" i="17"/>
  <c r="E23" i="17"/>
  <c r="E18" i="17"/>
  <c r="F22" i="14"/>
  <c r="E22" i="14"/>
  <c r="D22" i="14"/>
  <c r="C22" i="14"/>
  <c r="F21" i="14"/>
  <c r="E21" i="14"/>
  <c r="D21" i="14"/>
  <c r="C21" i="14"/>
  <c r="I6" i="14"/>
  <c r="D36" i="25" s="1"/>
  <c r="G21" i="25" s="1"/>
  <c r="G19" i="5"/>
  <c r="D19" i="5"/>
  <c r="G9" i="2"/>
  <c r="G6" i="25" s="1"/>
  <c r="G8" i="2"/>
  <c r="D8" i="25" s="1"/>
  <c r="Y24" i="32" l="1"/>
  <c r="Z172" i="33" s="1"/>
  <c r="AB24" i="32"/>
  <c r="Z24" i="32"/>
  <c r="R24" i="32"/>
  <c r="S172" i="33" s="1"/>
  <c r="AA24" i="32"/>
  <c r="Y25" i="32"/>
  <c r="Z173" i="33" s="1"/>
  <c r="Z25" i="32"/>
  <c r="R25" i="32"/>
  <c r="S173" i="33" s="1"/>
  <c r="AB25" i="32"/>
  <c r="T25" i="32"/>
  <c r="AC25" i="32"/>
  <c r="AA25" i="32"/>
  <c r="T24" i="32"/>
  <c r="AB21" i="33"/>
  <c r="G5" i="25"/>
  <c r="R22" i="32"/>
  <c r="S170" i="33" s="1"/>
  <c r="X108" i="22"/>
  <c r="T108" i="22"/>
  <c r="Y108" i="22" s="1"/>
  <c r="X110" i="22"/>
  <c r="T110" i="22"/>
  <c r="Y110" i="22" s="1"/>
  <c r="X112" i="22"/>
  <c r="T112" i="22"/>
  <c r="Y112" i="22" s="1"/>
  <c r="X114" i="22"/>
  <c r="T114" i="22"/>
  <c r="Y114" i="22" s="1"/>
  <c r="X116" i="22"/>
  <c r="T116" i="22"/>
  <c r="Y116" i="22" s="1"/>
  <c r="W118" i="22"/>
  <c r="T118" i="22"/>
  <c r="Y118" i="22" s="1"/>
  <c r="W120" i="22"/>
  <c r="T120" i="22"/>
  <c r="Y120" i="22" s="1"/>
  <c r="W122" i="22"/>
  <c r="T122" i="22"/>
  <c r="Y122" i="22" s="1"/>
  <c r="W124" i="22"/>
  <c r="T124" i="22"/>
  <c r="Y124" i="22" s="1"/>
  <c r="W126" i="22"/>
  <c r="T126" i="22"/>
  <c r="Y126" i="22" s="1"/>
  <c r="W128" i="22"/>
  <c r="T128" i="22"/>
  <c r="Y128" i="22" s="1"/>
  <c r="W130" i="22"/>
  <c r="T130" i="22"/>
  <c r="Y130" i="22" s="1"/>
  <c r="W132" i="22"/>
  <c r="T132" i="22"/>
  <c r="Y132" i="22" s="1"/>
  <c r="W134" i="22"/>
  <c r="T134" i="22"/>
  <c r="Y134" i="22" s="1"/>
  <c r="W136" i="22"/>
  <c r="T136" i="22"/>
  <c r="Y136" i="22" s="1"/>
  <c r="W138" i="22"/>
  <c r="T138" i="22"/>
  <c r="Y138" i="22" s="1"/>
  <c r="W140" i="22"/>
  <c r="T140" i="22"/>
  <c r="Y140" i="22" s="1"/>
  <c r="W142" i="22"/>
  <c r="T142" i="22"/>
  <c r="Y142" i="22" s="1"/>
  <c r="W144" i="22"/>
  <c r="T144" i="22"/>
  <c r="Y144" i="22" s="1"/>
  <c r="X107" i="22"/>
  <c r="T107" i="22"/>
  <c r="Y107" i="22" s="1"/>
  <c r="X109" i="22"/>
  <c r="T109" i="22"/>
  <c r="Y109" i="22" s="1"/>
  <c r="X111" i="22"/>
  <c r="T111" i="22"/>
  <c r="Y111" i="22" s="1"/>
  <c r="X113" i="22"/>
  <c r="T113" i="22"/>
  <c r="Y113" i="22" s="1"/>
  <c r="X115" i="22"/>
  <c r="T115" i="22"/>
  <c r="Y115" i="22" s="1"/>
  <c r="X117" i="22"/>
  <c r="T117" i="22"/>
  <c r="Y117" i="22" s="1"/>
  <c r="W119" i="22"/>
  <c r="T119" i="22"/>
  <c r="Y119" i="22" s="1"/>
  <c r="W121" i="22"/>
  <c r="T121" i="22"/>
  <c r="Y121" i="22" s="1"/>
  <c r="W123" i="22"/>
  <c r="T123" i="22"/>
  <c r="Y123" i="22" s="1"/>
  <c r="W125" i="22"/>
  <c r="T125" i="22"/>
  <c r="Y125" i="22" s="1"/>
  <c r="W127" i="22"/>
  <c r="T127" i="22"/>
  <c r="Y127" i="22" s="1"/>
  <c r="W129" i="22"/>
  <c r="T129" i="22"/>
  <c r="Y129" i="22" s="1"/>
  <c r="W131" i="22"/>
  <c r="T131" i="22"/>
  <c r="Y131" i="22" s="1"/>
  <c r="W133" i="22"/>
  <c r="T133" i="22"/>
  <c r="Y133" i="22" s="1"/>
  <c r="W135" i="22"/>
  <c r="T135" i="22"/>
  <c r="Y135" i="22" s="1"/>
  <c r="W137" i="22"/>
  <c r="T137" i="22"/>
  <c r="Y137" i="22" s="1"/>
  <c r="W139" i="22"/>
  <c r="T139" i="22"/>
  <c r="Y139" i="22" s="1"/>
  <c r="W141" i="22"/>
  <c r="T141" i="22"/>
  <c r="Y141" i="22" s="1"/>
  <c r="W143" i="22"/>
  <c r="T143" i="22"/>
  <c r="Y143" i="22" s="1"/>
  <c r="W145" i="22"/>
  <c r="T145" i="22"/>
  <c r="Y145" i="22" s="1"/>
  <c r="X39" i="22"/>
  <c r="T39" i="22"/>
  <c r="Y39" i="22" s="1"/>
  <c r="X43" i="22"/>
  <c r="T43" i="22"/>
  <c r="Y43" i="22" s="1"/>
  <c r="X45" i="22"/>
  <c r="T45" i="22"/>
  <c r="Y45" i="22" s="1"/>
  <c r="X30" i="22"/>
  <c r="T30" i="22"/>
  <c r="Y30" i="22" s="1"/>
  <c r="X32" i="22"/>
  <c r="T32" i="22"/>
  <c r="Y32" i="22" s="1"/>
  <c r="X34" i="22"/>
  <c r="T34" i="22"/>
  <c r="Y34" i="22" s="1"/>
  <c r="X36" i="22"/>
  <c r="T36" i="22"/>
  <c r="Y36" i="22" s="1"/>
  <c r="X38" i="22"/>
  <c r="T38" i="22"/>
  <c r="Y38" i="22" s="1"/>
  <c r="X40" i="22"/>
  <c r="T40" i="22"/>
  <c r="Y40" i="22" s="1"/>
  <c r="X42" i="22"/>
  <c r="T42" i="22"/>
  <c r="Y42" i="22" s="1"/>
  <c r="X44" i="22"/>
  <c r="T44" i="22"/>
  <c r="Y44" i="22" s="1"/>
  <c r="X46" i="22"/>
  <c r="T46" i="22"/>
  <c r="Y46" i="22" s="1"/>
  <c r="X48" i="22"/>
  <c r="T48" i="22"/>
  <c r="Y48" i="22" s="1"/>
  <c r="X50" i="22"/>
  <c r="T50" i="22"/>
  <c r="Y50" i="22" s="1"/>
  <c r="X52" i="22"/>
  <c r="T52" i="22"/>
  <c r="Y52" i="22" s="1"/>
  <c r="X54" i="22"/>
  <c r="T54" i="22"/>
  <c r="Y54" i="22" s="1"/>
  <c r="X31" i="22"/>
  <c r="T31" i="22"/>
  <c r="Y31" i="22" s="1"/>
  <c r="X33" i="22"/>
  <c r="T33" i="22"/>
  <c r="Y33" i="22" s="1"/>
  <c r="X35" i="22"/>
  <c r="T35" i="22"/>
  <c r="Y35" i="22" s="1"/>
  <c r="X37" i="22"/>
  <c r="T37" i="22"/>
  <c r="Y37" i="22" s="1"/>
  <c r="X41" i="22"/>
  <c r="T41" i="22"/>
  <c r="Y41" i="22" s="1"/>
  <c r="X47" i="22"/>
  <c r="T47" i="22"/>
  <c r="Y47" i="22" s="1"/>
  <c r="X49" i="22"/>
  <c r="T49" i="22"/>
  <c r="Y49" i="22" s="1"/>
  <c r="X51" i="22"/>
  <c r="T51" i="22"/>
  <c r="Y51" i="22" s="1"/>
  <c r="X53" i="22"/>
  <c r="T53" i="22"/>
  <c r="Y53" i="22" s="1"/>
  <c r="X55" i="22"/>
  <c r="T55" i="22"/>
  <c r="Y55" i="22" s="1"/>
  <c r="T23" i="32"/>
  <c r="Y23" i="32"/>
  <c r="Z171" i="33" s="1"/>
  <c r="AC19" i="33"/>
  <c r="S21" i="33"/>
  <c r="AC21" i="33"/>
  <c r="T21" i="33"/>
  <c r="AD19" i="33"/>
  <c r="AA21" i="33"/>
  <c r="AB23" i="32"/>
  <c r="AA23" i="32"/>
  <c r="R23" i="32"/>
  <c r="S171" i="33" s="1"/>
  <c r="Z23" i="32"/>
  <c r="AC23" i="32"/>
  <c r="AA19" i="33"/>
  <c r="AC22" i="32"/>
  <c r="Z22" i="32"/>
  <c r="AA22" i="32"/>
  <c r="AB22" i="32"/>
  <c r="S22" i="33"/>
  <c r="AC22" i="33"/>
  <c r="AA22" i="33"/>
  <c r="AB22" i="33"/>
  <c r="AD22" i="33"/>
  <c r="AC28" i="33"/>
  <c r="AA28" i="33"/>
  <c r="AB28" i="33"/>
  <c r="AD28" i="33"/>
  <c r="AA28" i="32"/>
  <c r="AC28" i="32"/>
  <c r="Z28" i="32"/>
  <c r="AB28" i="32"/>
  <c r="T35" i="33"/>
  <c r="AB35" i="33"/>
  <c r="AD35" i="33"/>
  <c r="AC35" i="33"/>
  <c r="AA35" i="33"/>
  <c r="K174" i="33"/>
  <c r="U35" i="33"/>
  <c r="Y35" i="33" s="1"/>
  <c r="S35" i="33"/>
  <c r="U28" i="33"/>
  <c r="Y28" i="33" s="1"/>
  <c r="Z28" i="33"/>
  <c r="T28" i="33"/>
  <c r="S28" i="33"/>
  <c r="T22" i="33"/>
  <c r="Z22" i="33"/>
  <c r="T28" i="32"/>
  <c r="Y28" i="32"/>
  <c r="Z176" i="33" s="1"/>
  <c r="R28" i="32"/>
  <c r="S176" i="33" s="1"/>
  <c r="N10" i="32"/>
  <c r="D13" i="25" s="1"/>
  <c r="T19" i="33"/>
  <c r="U19" i="33"/>
  <c r="S19" i="33"/>
  <c r="Z19" i="33"/>
  <c r="T22" i="32"/>
  <c r="Y22" i="32"/>
  <c r="Z170" i="33" s="1"/>
  <c r="A118" i="22"/>
  <c r="X118" i="22"/>
  <c r="A120" i="22"/>
  <c r="X120" i="22"/>
  <c r="A122" i="22"/>
  <c r="X122" i="22"/>
  <c r="A124" i="22"/>
  <c r="X124" i="22"/>
  <c r="A126" i="22"/>
  <c r="X126" i="22"/>
  <c r="A128" i="22"/>
  <c r="X128" i="22"/>
  <c r="A130" i="22"/>
  <c r="X130" i="22"/>
  <c r="A132" i="22"/>
  <c r="X132" i="22"/>
  <c r="A134" i="22"/>
  <c r="X134" i="22"/>
  <c r="A136" i="22"/>
  <c r="X136" i="22"/>
  <c r="A138" i="22"/>
  <c r="X138" i="22"/>
  <c r="A140" i="22"/>
  <c r="X140" i="22"/>
  <c r="A142" i="22"/>
  <c r="X142" i="22"/>
  <c r="A144" i="22"/>
  <c r="X144" i="22"/>
  <c r="A119" i="22"/>
  <c r="X119" i="22"/>
  <c r="A121" i="22"/>
  <c r="X121" i="22"/>
  <c r="A123" i="22"/>
  <c r="X123" i="22"/>
  <c r="A125" i="22"/>
  <c r="X125" i="22"/>
  <c r="A127" i="22"/>
  <c r="X127" i="22"/>
  <c r="A129" i="22"/>
  <c r="X129" i="22"/>
  <c r="A131" i="22"/>
  <c r="X131" i="22"/>
  <c r="A133" i="22"/>
  <c r="X133" i="22"/>
  <c r="A135" i="22"/>
  <c r="X135" i="22"/>
  <c r="A137" i="22"/>
  <c r="X137" i="22"/>
  <c r="A139" i="22"/>
  <c r="X139" i="22"/>
  <c r="A141" i="22"/>
  <c r="X141" i="22"/>
  <c r="A143" i="22"/>
  <c r="X143" i="22"/>
  <c r="A145" i="22"/>
  <c r="X145" i="22"/>
  <c r="F28" i="17"/>
  <c r="C13" i="20" s="1"/>
  <c r="H28" i="17"/>
  <c r="E13" i="20" s="1"/>
  <c r="E28" i="17"/>
  <c r="B13" i="20" s="1"/>
  <c r="G28" i="17"/>
  <c r="D13" i="20" s="1"/>
  <c r="A16" i="22"/>
  <c r="T16" i="22" s="1"/>
  <c r="A17" i="22"/>
  <c r="T17" i="22" s="1"/>
  <c r="Y17" i="22" s="1"/>
  <c r="A18" i="22"/>
  <c r="T18" i="22" s="1"/>
  <c r="Y18" i="22" s="1"/>
  <c r="A19" i="22"/>
  <c r="T19" i="22" s="1"/>
  <c r="Y19" i="22" s="1"/>
  <c r="A20" i="22"/>
  <c r="T20" i="22" s="1"/>
  <c r="Y20" i="22" s="1"/>
  <c r="X21" i="22"/>
  <c r="A21" i="22"/>
  <c r="Y21" i="22"/>
  <c r="W21" i="22"/>
  <c r="X22" i="22"/>
  <c r="A22" i="22"/>
  <c r="Y22" i="22"/>
  <c r="W22" i="22"/>
  <c r="X23" i="22"/>
  <c r="A23" i="22"/>
  <c r="Y23" i="22"/>
  <c r="W23" i="22"/>
  <c r="X24" i="22"/>
  <c r="A24" i="22"/>
  <c r="Y24" i="22"/>
  <c r="W24" i="22"/>
  <c r="X25" i="22"/>
  <c r="A25" i="22"/>
  <c r="Y25" i="22"/>
  <c r="W25" i="22"/>
  <c r="X26" i="22"/>
  <c r="A26" i="22"/>
  <c r="Y26" i="22"/>
  <c r="W26" i="22"/>
  <c r="X27" i="22"/>
  <c r="A27" i="22"/>
  <c r="Y27" i="22"/>
  <c r="W27" i="22"/>
  <c r="X28" i="22"/>
  <c r="A28" i="22"/>
  <c r="Y28" i="22"/>
  <c r="W28" i="22"/>
  <c r="X29" i="22"/>
  <c r="A29" i="22"/>
  <c r="W29" i="22"/>
  <c r="Y29" i="22"/>
  <c r="W30" i="22"/>
  <c r="W33" i="22"/>
  <c r="W36" i="22"/>
  <c r="W37" i="22"/>
  <c r="W39" i="22"/>
  <c r="W40" i="22"/>
  <c r="W43" i="22"/>
  <c r="W46" i="22"/>
  <c r="W49" i="22"/>
  <c r="W50" i="22"/>
  <c r="W51" i="22"/>
  <c r="W53" i="22"/>
  <c r="W54" i="22"/>
  <c r="W107" i="22"/>
  <c r="W108" i="22"/>
  <c r="W109" i="22"/>
  <c r="W110" i="22"/>
  <c r="W112" i="22"/>
  <c r="W113" i="22"/>
  <c r="W114" i="22"/>
  <c r="W115" i="22"/>
  <c r="W116" i="22"/>
  <c r="W117" i="22"/>
  <c r="W31" i="22"/>
  <c r="W32" i="22"/>
  <c r="W34" i="22"/>
  <c r="W35" i="22"/>
  <c r="W38" i="22"/>
  <c r="W41" i="22"/>
  <c r="W42" i="22"/>
  <c r="W44" i="22"/>
  <c r="W45" i="22"/>
  <c r="W47" i="22"/>
  <c r="W48" i="22"/>
  <c r="W52" i="22"/>
  <c r="W55" i="22"/>
  <c r="W111" i="22"/>
  <c r="A30" i="22"/>
  <c r="A31" i="22"/>
  <c r="A32" i="22"/>
  <c r="A33" i="22"/>
  <c r="A34" i="22"/>
  <c r="A35" i="22"/>
  <c r="A36" i="22"/>
  <c r="A37" i="22"/>
  <c r="A38" i="22"/>
  <c r="A39" i="22"/>
  <c r="A40" i="22"/>
  <c r="A41" i="22"/>
  <c r="A42" i="22"/>
  <c r="A43" i="22"/>
  <c r="A44" i="22"/>
  <c r="A45" i="22"/>
  <c r="A46" i="22"/>
  <c r="A47" i="22"/>
  <c r="A48" i="22"/>
  <c r="A49" i="22"/>
  <c r="A50" i="22"/>
  <c r="A51" i="22"/>
  <c r="A52" i="22"/>
  <c r="A53" i="22"/>
  <c r="A54" i="22"/>
  <c r="A55" i="22"/>
  <c r="A106" i="22"/>
  <c r="A107" i="22"/>
  <c r="A108" i="22"/>
  <c r="A109" i="22"/>
  <c r="A110" i="22"/>
  <c r="A111" i="22"/>
  <c r="A112" i="22"/>
  <c r="A113" i="22"/>
  <c r="A114" i="22"/>
  <c r="A115" i="22"/>
  <c r="A116" i="22"/>
  <c r="A117" i="22"/>
  <c r="K6" i="17"/>
  <c r="D40" i="25" s="1"/>
  <c r="G23" i="25" s="1"/>
  <c r="S24" i="32" l="1"/>
  <c r="T172" i="33" s="1"/>
  <c r="U173" i="33"/>
  <c r="X25" i="32"/>
  <c r="Y173" i="33" s="1"/>
  <c r="S25" i="32"/>
  <c r="T173" i="33" s="1"/>
  <c r="W19" i="22"/>
  <c r="U172" i="33"/>
  <c r="X24" i="32"/>
  <c r="Y172" i="33" s="1"/>
  <c r="S23" i="32"/>
  <c r="T171" i="33" s="1"/>
  <c r="X106" i="22"/>
  <c r="X20" i="22"/>
  <c r="W20" i="22"/>
  <c r="W18" i="22"/>
  <c r="X18" i="22"/>
  <c r="X19" i="22"/>
  <c r="W106" i="22"/>
  <c r="T106" i="22"/>
  <c r="Q7" i="22" s="1"/>
  <c r="D44" i="25" s="1"/>
  <c r="G25" i="25" s="1"/>
  <c r="G8" i="25"/>
  <c r="S22" i="32"/>
  <c r="T170" i="33" s="1"/>
  <c r="W17" i="22"/>
  <c r="X17" i="22"/>
  <c r="W16" i="22"/>
  <c r="X16" i="22"/>
  <c r="U171" i="33"/>
  <c r="X23" i="32"/>
  <c r="Y171" i="33" s="1"/>
  <c r="E16" i="5"/>
  <c r="F16" i="5"/>
  <c r="G16" i="5"/>
  <c r="D16" i="5"/>
  <c r="N13" i="32"/>
  <c r="U176" i="33"/>
  <c r="X28" i="32"/>
  <c r="Y176" i="33" s="1"/>
  <c r="X22" i="32"/>
  <c r="U170" i="33"/>
  <c r="O9" i="33"/>
  <c r="D21" i="25" s="1"/>
  <c r="G14" i="25" s="1"/>
  <c r="Y19" i="33"/>
  <c r="Q6" i="22"/>
  <c r="D43" i="25" s="1"/>
  <c r="G24" i="25" s="1"/>
  <c r="Y16" i="22"/>
  <c r="Y106" i="22" l="1"/>
  <c r="D24" i="5"/>
  <c r="G24" i="5"/>
  <c r="F24" i="5"/>
  <c r="E24" i="5"/>
  <c r="T176" i="33"/>
  <c r="D16" i="25"/>
  <c r="Y170" i="33"/>
  <c r="E19" i="5"/>
  <c r="F19" i="5"/>
  <c r="G11" i="25" l="1"/>
  <c r="D5" i="25" s="1"/>
  <c r="E14" i="20"/>
  <c r="C14" i="20"/>
  <c r="D14" i="20"/>
  <c r="B14" i="20"/>
  <c r="A5" i="25" l="1"/>
  <c r="F20" i="5" l="1"/>
  <c r="E20" i="5"/>
  <c r="G20" i="5"/>
  <c r="D20" i="5"/>
  <c r="D26" i="5" l="1"/>
  <c r="B18" i="20" s="1"/>
  <c r="E26" i="5"/>
  <c r="C18" i="20" s="1"/>
  <c r="G26" i="5"/>
  <c r="E18" i="20" s="1"/>
  <c r="F26" i="5"/>
  <c r="D18" i="20" s="1"/>
  <c r="C19" i="20" l="1"/>
  <c r="C21" i="20"/>
  <c r="C22" i="20"/>
  <c r="C23" i="20"/>
  <c r="C20" i="20"/>
  <c r="E20" i="20"/>
  <c r="E21" i="20"/>
  <c r="E23" i="20"/>
  <c r="E22" i="20"/>
  <c r="E19" i="20"/>
  <c r="B21" i="20"/>
  <c r="B19" i="20"/>
  <c r="B20" i="20"/>
  <c r="B22" i="20"/>
  <c r="B23" i="20"/>
  <c r="D19" i="20"/>
  <c r="D22" i="20"/>
  <c r="D20" i="20"/>
  <c r="D23" i="20"/>
  <c r="D21" i="20"/>
  <c r="L53" i="35"/>
  <c r="T19" i="35"/>
  <c r="L54" i="35" s="1"/>
  <c r="T17" i="35" l="1"/>
  <c r="L52" i="35" s="1"/>
  <c r="K68" i="35" s="1"/>
  <c r="K452" i="35" l="1"/>
  <c r="K355" i="35"/>
  <c r="K424" i="35"/>
  <c r="K368" i="35"/>
  <c r="K210" i="35"/>
  <c r="K398" i="35"/>
  <c r="K266" i="35"/>
  <c r="K295" i="35"/>
  <c r="K35" i="35"/>
  <c r="K471" i="35"/>
  <c r="K419" i="35"/>
  <c r="K302" i="35"/>
  <c r="K40" i="35"/>
  <c r="K383" i="35"/>
  <c r="K101" i="35"/>
  <c r="K417" i="35"/>
  <c r="K388" i="35"/>
  <c r="K432" i="35"/>
  <c r="K451" i="35"/>
  <c r="K387" i="35"/>
  <c r="K336" i="35"/>
  <c r="K270" i="35"/>
  <c r="K251" i="35"/>
  <c r="K364" i="35"/>
  <c r="K447" i="35"/>
  <c r="K332" i="35"/>
  <c r="K123" i="35"/>
  <c r="K462" i="35"/>
  <c r="K329" i="35"/>
  <c r="K353" i="35"/>
  <c r="K24" i="35"/>
  <c r="K420" i="35"/>
  <c r="K356" i="35"/>
  <c r="K464" i="35"/>
  <c r="K400" i="35"/>
  <c r="K333" i="35"/>
  <c r="K435" i="35"/>
  <c r="K403" i="35"/>
  <c r="K371" i="35"/>
  <c r="K339" i="35"/>
  <c r="K318" i="35"/>
  <c r="K286" i="35"/>
  <c r="K254" i="35"/>
  <c r="K107" i="35"/>
  <c r="K170" i="35"/>
  <c r="K428" i="35"/>
  <c r="K474" i="35"/>
  <c r="K360" i="35"/>
  <c r="K415" i="35"/>
  <c r="K351" i="35"/>
  <c r="K298" i="35"/>
  <c r="K218" i="35"/>
  <c r="K259" i="35"/>
  <c r="K58" i="35"/>
  <c r="K430" i="35"/>
  <c r="K366" i="35"/>
  <c r="K449" i="35"/>
  <c r="K385" i="35"/>
  <c r="K334" i="35"/>
  <c r="K300" i="35"/>
  <c r="K54" i="35"/>
  <c r="K468" i="35"/>
  <c r="K436" i="35"/>
  <c r="K404" i="35"/>
  <c r="K372" i="35"/>
  <c r="K340" i="35"/>
  <c r="K455" i="35"/>
  <c r="K448" i="35"/>
  <c r="K416" i="35"/>
  <c r="K384" i="35"/>
  <c r="K352" i="35"/>
  <c r="K467" i="35"/>
  <c r="K443" i="35"/>
  <c r="K427" i="35"/>
  <c r="K411" i="35"/>
  <c r="K395" i="35"/>
  <c r="K379" i="35"/>
  <c r="K363" i="35"/>
  <c r="K347" i="35"/>
  <c r="K323" i="35"/>
  <c r="K328" i="35"/>
  <c r="K310" i="35"/>
  <c r="K294" i="35"/>
  <c r="K278" i="35"/>
  <c r="K262" i="35"/>
  <c r="K242" i="35"/>
  <c r="K171" i="35"/>
  <c r="K283" i="35"/>
  <c r="K191" i="35"/>
  <c r="K106" i="35"/>
  <c r="K460" i="35"/>
  <c r="K396" i="35"/>
  <c r="K325" i="35"/>
  <c r="K456" i="35"/>
  <c r="K392" i="35"/>
  <c r="K315" i="35"/>
  <c r="K431" i="35"/>
  <c r="K399" i="35"/>
  <c r="K367" i="35"/>
  <c r="K331" i="35"/>
  <c r="K314" i="35"/>
  <c r="K282" i="35"/>
  <c r="K250" i="35"/>
  <c r="K186" i="35"/>
  <c r="K291" i="35"/>
  <c r="K207" i="35"/>
  <c r="K122" i="35"/>
  <c r="K51" i="35"/>
  <c r="K446" i="35"/>
  <c r="K414" i="35"/>
  <c r="K382" i="35"/>
  <c r="K350" i="35"/>
  <c r="K465" i="35"/>
  <c r="K433" i="35"/>
  <c r="K401" i="35"/>
  <c r="K369" i="35"/>
  <c r="K335" i="35"/>
  <c r="K316" i="35"/>
  <c r="K284" i="35"/>
  <c r="K252" i="35"/>
  <c r="K130" i="35"/>
  <c r="K370" i="35"/>
  <c r="K389" i="35"/>
  <c r="K179" i="35"/>
  <c r="K190" i="35"/>
  <c r="K215" i="35"/>
  <c r="K77" i="35"/>
  <c r="K434" i="35"/>
  <c r="K453" i="35"/>
  <c r="K338" i="35"/>
  <c r="K61" i="35"/>
  <c r="K150" i="35"/>
  <c r="K305" i="35"/>
  <c r="K217" i="35"/>
  <c r="K39" i="35"/>
  <c r="K236" i="35"/>
  <c r="K121" i="35"/>
  <c r="K97" i="35"/>
  <c r="K235" i="35"/>
  <c r="K200" i="35"/>
  <c r="K199" i="35"/>
  <c r="K280" i="35"/>
  <c r="K357" i="35"/>
  <c r="K421" i="35"/>
  <c r="K337" i="35"/>
  <c r="K402" i="35"/>
  <c r="K466" i="35"/>
  <c r="K69" i="35"/>
  <c r="K66" i="35"/>
  <c r="K117" i="35"/>
  <c r="K263" i="35"/>
  <c r="K131" i="35"/>
  <c r="K222" i="35"/>
  <c r="K268" i="35"/>
  <c r="K292" i="35"/>
  <c r="K308" i="35"/>
  <c r="K326" i="35"/>
  <c r="K317" i="35"/>
  <c r="K345" i="35"/>
  <c r="K361" i="35"/>
  <c r="K377" i="35"/>
  <c r="K393" i="35"/>
  <c r="K409" i="35"/>
  <c r="K425" i="35"/>
  <c r="K441" i="35"/>
  <c r="K457" i="35"/>
  <c r="K473" i="35"/>
  <c r="K342" i="35"/>
  <c r="K358" i="35"/>
  <c r="K374" i="35"/>
  <c r="K390" i="35"/>
  <c r="K406" i="35"/>
  <c r="K422" i="35"/>
  <c r="K438" i="35"/>
  <c r="K454" i="35"/>
  <c r="K470" i="35"/>
  <c r="K85" i="35"/>
  <c r="K90" i="35"/>
  <c r="K154" i="35"/>
  <c r="K165" i="35"/>
  <c r="K239" i="35"/>
  <c r="K275" i="35"/>
  <c r="K307" i="35"/>
  <c r="K155" i="35"/>
  <c r="K202" i="35"/>
  <c r="K234" i="35"/>
  <c r="K258" i="35"/>
  <c r="K274" i="35"/>
  <c r="K290" i="35"/>
  <c r="K306" i="35"/>
  <c r="K324" i="35"/>
  <c r="K313" i="35"/>
  <c r="K343" i="35"/>
  <c r="K359" i="35"/>
  <c r="K375" i="35"/>
  <c r="K391" i="35"/>
  <c r="K407" i="35"/>
  <c r="K423" i="35"/>
  <c r="K439" i="35"/>
  <c r="K459" i="35"/>
  <c r="K344" i="35"/>
  <c r="K376" i="35"/>
  <c r="K408" i="35"/>
  <c r="K440" i="35"/>
  <c r="K472" i="35"/>
  <c r="K463" i="35"/>
  <c r="K348" i="35"/>
  <c r="K380" i="35"/>
  <c r="K412" i="35"/>
  <c r="K444" i="35"/>
  <c r="K33" i="35"/>
  <c r="M475" i="35" s="1"/>
  <c r="L475" i="35" s="1"/>
  <c r="K512" i="35" s="1"/>
  <c r="K74" i="35"/>
  <c r="K138" i="35"/>
  <c r="K133" i="35"/>
  <c r="K223" i="35"/>
  <c r="K267" i="35"/>
  <c r="K299" i="35"/>
  <c r="K139" i="35"/>
  <c r="K194" i="35"/>
  <c r="K226" i="35"/>
  <c r="K132" i="35"/>
  <c r="K79" i="35"/>
  <c r="K159" i="35"/>
  <c r="K277" i="35"/>
  <c r="K173" i="35"/>
  <c r="K450" i="35"/>
  <c r="K418" i="35"/>
  <c r="K386" i="35"/>
  <c r="K354" i="35"/>
  <c r="K469" i="35"/>
  <c r="K437" i="35"/>
  <c r="K405" i="35"/>
  <c r="K373" i="35"/>
  <c r="K341" i="35"/>
  <c r="K312" i="35"/>
  <c r="K246" i="35"/>
  <c r="K287" i="35"/>
  <c r="K114" i="35"/>
  <c r="K232" i="35"/>
  <c r="K151" i="35"/>
  <c r="K273" i="35"/>
  <c r="K157" i="35"/>
  <c r="K86" i="35"/>
  <c r="K30" i="35"/>
  <c r="K185" i="35"/>
  <c r="K164" i="35"/>
  <c r="K100" i="35"/>
  <c r="K34" i="35"/>
  <c r="K45" i="35"/>
  <c r="K204" i="35"/>
  <c r="K309" i="35"/>
  <c r="K243" i="35"/>
  <c r="K158" i="35"/>
  <c r="K94" i="35"/>
  <c r="K27" i="35"/>
  <c r="K145" i="35"/>
  <c r="K23" i="35"/>
  <c r="K221" i="35"/>
  <c r="K189" i="35"/>
  <c r="K276" i="35"/>
  <c r="K260" i="35"/>
  <c r="K238" i="35"/>
  <c r="K206" i="35"/>
  <c r="K163" i="35"/>
  <c r="K311" i="35"/>
  <c r="K279" i="35"/>
  <c r="K247" i="35"/>
  <c r="K181" i="35"/>
  <c r="K162" i="35"/>
  <c r="K98" i="35"/>
  <c r="K31" i="35"/>
  <c r="K43" i="35"/>
  <c r="K458" i="35"/>
  <c r="K442" i="35"/>
  <c r="K426" i="35"/>
  <c r="K410" i="35"/>
  <c r="K394" i="35"/>
  <c r="K378" i="35"/>
  <c r="K362" i="35"/>
  <c r="K346" i="35"/>
  <c r="K319" i="35"/>
  <c r="K461" i="35"/>
  <c r="K445" i="35"/>
  <c r="K429" i="35"/>
  <c r="K413" i="35"/>
  <c r="K397" i="35"/>
  <c r="K381" i="35"/>
  <c r="K365" i="35"/>
  <c r="K349" i="35"/>
  <c r="K327" i="35"/>
  <c r="K330" i="35"/>
  <c r="K296" i="35"/>
  <c r="K264" i="35"/>
  <c r="K214" i="35"/>
  <c r="K115" i="35"/>
  <c r="K255" i="35"/>
  <c r="K178" i="35"/>
  <c r="K48" i="35"/>
  <c r="K248" i="35"/>
  <c r="K216" i="35"/>
  <c r="K183" i="35"/>
  <c r="K119" i="35"/>
  <c r="K289" i="35"/>
  <c r="K257" i="35"/>
  <c r="K203" i="35"/>
  <c r="K182" i="35"/>
  <c r="K118" i="35"/>
  <c r="K52" i="35"/>
  <c r="K65" i="35"/>
  <c r="K233" i="35"/>
  <c r="K201" i="35"/>
  <c r="K153" i="35"/>
  <c r="K180" i="35"/>
  <c r="K148" i="35"/>
  <c r="K116" i="35"/>
  <c r="K84" i="35"/>
  <c r="K50" i="35"/>
  <c r="K95" i="35"/>
  <c r="K63" i="35"/>
  <c r="K28" i="35"/>
  <c r="K220" i="35"/>
  <c r="K188" i="35"/>
  <c r="K127" i="35"/>
  <c r="K293" i="35"/>
  <c r="K261" i="35"/>
  <c r="K211" i="35"/>
  <c r="K109" i="35"/>
  <c r="K126" i="35"/>
  <c r="K62" i="35"/>
  <c r="K73" i="35"/>
  <c r="K237" i="35"/>
  <c r="K205" i="35"/>
  <c r="K53" i="35"/>
  <c r="K113" i="35"/>
  <c r="K177" i="35"/>
  <c r="K197" i="35"/>
  <c r="K213" i="35"/>
  <c r="K229" i="35"/>
  <c r="K245" i="35"/>
  <c r="K57" i="35"/>
  <c r="K89" i="35"/>
  <c r="K44" i="35"/>
  <c r="K78" i="35"/>
  <c r="K110" i="35"/>
  <c r="K142" i="35"/>
  <c r="K174" i="35"/>
  <c r="K141" i="35"/>
  <c r="K195" i="35"/>
  <c r="K227" i="35"/>
  <c r="K253" i="35"/>
  <c r="K269" i="35"/>
  <c r="K285" i="35"/>
  <c r="K301" i="35"/>
  <c r="K111" i="35"/>
  <c r="K143" i="35"/>
  <c r="K175" i="35"/>
  <c r="K196" i="35"/>
  <c r="K212" i="35"/>
  <c r="K228" i="35"/>
  <c r="K244" i="35"/>
  <c r="K37" i="35"/>
  <c r="K55" i="35"/>
  <c r="K71" i="35"/>
  <c r="K87" i="35"/>
  <c r="K25" i="35"/>
  <c r="K42" i="35"/>
  <c r="K60" i="35"/>
  <c r="K76" i="35"/>
  <c r="K92" i="35"/>
  <c r="K108" i="35"/>
  <c r="K124" i="35"/>
  <c r="K140" i="35"/>
  <c r="K156" i="35"/>
  <c r="K172" i="35"/>
  <c r="K105" i="35"/>
  <c r="K137" i="35"/>
  <c r="K169" i="35"/>
  <c r="K193" i="35"/>
  <c r="K209" i="35"/>
  <c r="K225" i="35"/>
  <c r="K241" i="35"/>
  <c r="K47" i="35"/>
  <c r="K81" i="35"/>
  <c r="K36" i="35"/>
  <c r="K70" i="35"/>
  <c r="K102" i="35"/>
  <c r="K134" i="35"/>
  <c r="K166" i="35"/>
  <c r="K125" i="35"/>
  <c r="K187" i="35"/>
  <c r="K219" i="35"/>
  <c r="K249" i="35"/>
  <c r="K265" i="35"/>
  <c r="K281" i="35"/>
  <c r="K297" i="35"/>
  <c r="K103" i="35"/>
  <c r="K135" i="35"/>
  <c r="K167" i="35"/>
  <c r="K192" i="35"/>
  <c r="K208" i="35"/>
  <c r="K224" i="35"/>
  <c r="K240" i="35"/>
  <c r="K26" i="35"/>
  <c r="K93" i="35"/>
  <c r="K82" i="35"/>
  <c r="K146" i="35"/>
  <c r="K149" i="35"/>
  <c r="K231" i="35"/>
  <c r="K271" i="35"/>
  <c r="K303" i="35"/>
  <c r="K147" i="35"/>
  <c r="K198" i="35"/>
  <c r="K230" i="35"/>
  <c r="K256" i="35"/>
  <c r="K272" i="35"/>
  <c r="K288" i="35"/>
  <c r="K304" i="35"/>
  <c r="K320" i="35"/>
  <c r="K176" i="35"/>
  <c r="K160" i="35"/>
  <c r="K144" i="35"/>
  <c r="K128" i="35"/>
  <c r="K96" i="35"/>
  <c r="K112" i="35"/>
  <c r="K80" i="35"/>
  <c r="K161" i="35"/>
  <c r="K129" i="35"/>
  <c r="K184" i="35"/>
  <c r="K168" i="35"/>
  <c r="K152" i="35"/>
  <c r="K136" i="35"/>
  <c r="K120" i="35"/>
  <c r="K104" i="35"/>
  <c r="K88" i="35"/>
  <c r="K56" i="35"/>
  <c r="K72" i="35"/>
  <c r="K38" i="35"/>
  <c r="K64" i="35"/>
  <c r="K46" i="35"/>
  <c r="K29" i="35"/>
  <c r="K99" i="35"/>
  <c r="K83" i="35"/>
  <c r="K67" i="35"/>
  <c r="K91" i="35"/>
  <c r="K75" i="35"/>
  <c r="K59" i="35"/>
  <c r="K49" i="35"/>
  <c r="K32" i="35"/>
  <c r="K41" i="35"/>
  <c r="B17" i="35" l="1"/>
  <c r="D16" i="35"/>
  <c r="D18" i="35"/>
  <c r="K495" i="35"/>
  <c r="K476" i="35"/>
  <c r="K527" i="35"/>
  <c r="K519" i="35"/>
  <c r="K491" i="35"/>
  <c r="K489" i="35"/>
  <c r="K506" i="35"/>
  <c r="K500" i="35"/>
  <c r="C19" i="35"/>
  <c r="K510" i="35"/>
  <c r="K504" i="35"/>
  <c r="K521" i="35"/>
  <c r="K490" i="35"/>
  <c r="K507" i="35"/>
  <c r="K499" i="35"/>
  <c r="K520" i="35"/>
  <c r="K515" i="35"/>
  <c r="K484" i="35"/>
  <c r="K480" i="35"/>
  <c r="B16" i="35"/>
  <c r="K478" i="35"/>
  <c r="K486" i="35"/>
  <c r="K517" i="35"/>
  <c r="K492" i="35"/>
  <c r="K482" i="35"/>
  <c r="K505" i="35"/>
  <c r="K488" i="35"/>
  <c r="K502" i="35"/>
  <c r="K529" i="35"/>
  <c r="K524" i="35"/>
  <c r="K487" i="35"/>
  <c r="K528" i="35"/>
  <c r="K516" i="35"/>
  <c r="K523" i="35"/>
  <c r="K498" i="35"/>
  <c r="K530" i="35"/>
  <c r="K481" i="35"/>
  <c r="K525" i="35"/>
  <c r="K511" i="35"/>
  <c r="C16" i="35"/>
  <c r="K496" i="35"/>
  <c r="K526" i="35"/>
  <c r="K501" i="35"/>
  <c r="K518" i="35"/>
  <c r="K479" i="35"/>
  <c r="K508" i="35"/>
  <c r="K503" i="35"/>
  <c r="K514" i="35"/>
  <c r="K497" i="35"/>
  <c r="K493" i="35"/>
  <c r="K483" i="35"/>
  <c r="K522" i="35"/>
  <c r="K477" i="35"/>
  <c r="K485" i="35"/>
  <c r="K509" i="35"/>
  <c r="K494" i="35"/>
  <c r="K531" i="35"/>
  <c r="B18" i="35"/>
  <c r="C18" i="35"/>
  <c r="D20" i="35"/>
  <c r="C17" i="35"/>
  <c r="D17" i="35"/>
  <c r="B19" i="35"/>
  <c r="D19" i="35"/>
  <c r="C20" i="35"/>
  <c r="D24" i="35"/>
  <c r="B20" i="35"/>
  <c r="B24" i="35"/>
  <c r="C23" i="35"/>
  <c r="D22" i="35"/>
  <c r="B23" i="35"/>
  <c r="K475" i="35"/>
  <c r="K513" i="35"/>
  <c r="C22" i="35"/>
  <c r="C162" i="35"/>
  <c r="C55" i="35"/>
  <c r="B72" i="35"/>
  <c r="C105" i="35"/>
  <c r="D31" i="35"/>
  <c r="C49" i="35"/>
  <c r="D83" i="35"/>
  <c r="B103" i="35"/>
  <c r="B38" i="35"/>
  <c r="C124" i="35"/>
  <c r="C56" i="35"/>
  <c r="C80" i="35"/>
  <c r="C83" i="35"/>
  <c r="C141" i="35"/>
  <c r="B117" i="35"/>
  <c r="C132" i="35"/>
  <c r="C112" i="35"/>
  <c r="D80" i="35"/>
  <c r="B29" i="35"/>
  <c r="C129" i="35"/>
  <c r="C14" i="35"/>
  <c r="C75" i="35"/>
  <c r="C29" i="35"/>
  <c r="B152" i="35"/>
  <c r="B28" i="35"/>
  <c r="D30" i="35"/>
  <c r="B114" i="35"/>
  <c r="B25" i="35"/>
  <c r="C24" i="35"/>
  <c r="D122" i="35"/>
  <c r="B22" i="35"/>
  <c r="C43" i="35"/>
  <c r="B21" i="35"/>
  <c r="D23" i="35"/>
  <c r="C40" i="35"/>
  <c r="B52" i="35"/>
  <c r="C84" i="35"/>
  <c r="B53" i="35"/>
  <c r="D21" i="35"/>
  <c r="B76" i="35"/>
  <c r="D118" i="35"/>
  <c r="C122" i="35"/>
  <c r="B94" i="35"/>
  <c r="C38" i="35"/>
  <c r="C90" i="35"/>
  <c r="B119" i="35"/>
  <c r="C157" i="35"/>
  <c r="C50" i="35"/>
  <c r="D99" i="35"/>
  <c r="C153" i="35"/>
  <c r="B112" i="35"/>
  <c r="C158" i="35"/>
  <c r="B88" i="35"/>
  <c r="C57" i="35"/>
  <c r="B55" i="35"/>
  <c r="B149" i="35"/>
  <c r="D126" i="35"/>
  <c r="D140" i="35"/>
  <c r="C86" i="35"/>
  <c r="C79" i="35"/>
  <c r="C100" i="35"/>
  <c r="D37" i="35"/>
  <c r="B44" i="35"/>
  <c r="D148" i="35"/>
  <c r="B100" i="35"/>
  <c r="D85" i="35"/>
  <c r="C130" i="35"/>
  <c r="D57" i="35"/>
  <c r="D157" i="35"/>
  <c r="D71" i="35"/>
  <c r="D87" i="35"/>
  <c r="B122" i="35"/>
  <c r="D73" i="35"/>
  <c r="B35" i="35"/>
  <c r="C134" i="35"/>
  <c r="C33" i="35"/>
  <c r="C123" i="35"/>
  <c r="B27" i="35"/>
  <c r="B118" i="35"/>
  <c r="C36" i="35"/>
  <c r="C113" i="35"/>
  <c r="C88" i="35"/>
  <c r="C139" i="35"/>
  <c r="B73" i="35"/>
  <c r="D109" i="35"/>
  <c r="D93" i="35"/>
  <c r="B36" i="35"/>
  <c r="C126" i="35"/>
  <c r="C93" i="35"/>
  <c r="C48" i="35"/>
  <c r="C119" i="35"/>
  <c r="B41" i="35"/>
  <c r="B51" i="35"/>
  <c r="C116" i="35"/>
  <c r="C161" i="35"/>
  <c r="C91" i="35"/>
  <c r="D64" i="35"/>
  <c r="B148" i="35"/>
  <c r="B33" i="35"/>
  <c r="D40" i="35"/>
  <c r="C109" i="35"/>
  <c r="C135" i="35"/>
  <c r="D69" i="35"/>
  <c r="B98" i="35"/>
  <c r="C106" i="35"/>
  <c r="D41" i="35"/>
  <c r="C140" i="35"/>
  <c r="C64" i="35"/>
  <c r="B159" i="35"/>
  <c r="D119" i="35"/>
  <c r="D121" i="35"/>
  <c r="B91" i="35"/>
  <c r="D95" i="35"/>
  <c r="D26" i="35"/>
  <c r="B132" i="35"/>
  <c r="D131" i="35"/>
  <c r="B151" i="35"/>
  <c r="C155" i="35"/>
  <c r="C152" i="35"/>
  <c r="D67" i="35"/>
  <c r="C60" i="35"/>
  <c r="C15" i="35"/>
  <c r="B26" i="35"/>
  <c r="C58" i="35"/>
  <c r="D32" i="35"/>
  <c r="C26" i="35"/>
  <c r="C121" i="35"/>
  <c r="B78" i="35"/>
  <c r="B43" i="35"/>
  <c r="C78" i="35"/>
  <c r="C31" i="35"/>
  <c r="B84" i="35"/>
  <c r="B31" i="35"/>
  <c r="B106" i="35"/>
  <c r="C150" i="35"/>
  <c r="B124" i="35"/>
  <c r="C21" i="35"/>
  <c r="D146" i="35"/>
  <c r="D151" i="35"/>
  <c r="D63" i="35"/>
  <c r="D111" i="35"/>
  <c r="B81" i="35"/>
  <c r="D155" i="35"/>
  <c r="D142" i="35"/>
  <c r="D124" i="35"/>
  <c r="D75" i="35"/>
  <c r="B101" i="35"/>
  <c r="B86" i="35"/>
  <c r="B105" i="35"/>
  <c r="B146" i="35"/>
  <c r="B154" i="35"/>
  <c r="C110" i="35"/>
  <c r="C131" i="35"/>
  <c r="C28" i="35"/>
  <c r="D28" i="35"/>
  <c r="D116" i="35"/>
  <c r="D101" i="35"/>
  <c r="C117" i="35"/>
  <c r="C35" i="35"/>
  <c r="D14" i="35"/>
  <c r="D52" i="35"/>
  <c r="D76" i="35"/>
  <c r="B113" i="35"/>
  <c r="D54" i="35"/>
  <c r="B62" i="35"/>
  <c r="B56" i="35"/>
  <c r="C95" i="35"/>
  <c r="C69" i="35"/>
  <c r="D27" i="35"/>
  <c r="B82" i="35"/>
  <c r="C115" i="35"/>
  <c r="C25" i="35"/>
  <c r="D102" i="35"/>
  <c r="C39" i="35"/>
  <c r="C144" i="35"/>
  <c r="C92" i="35"/>
  <c r="D90" i="35"/>
  <c r="C27" i="35"/>
  <c r="C68" i="35"/>
  <c r="C89" i="35"/>
  <c r="D29" i="35"/>
  <c r="B121" i="35"/>
  <c r="C151" i="35"/>
  <c r="C125" i="35"/>
  <c r="D25" i="35"/>
  <c r="D36" i="35"/>
  <c r="D161" i="35"/>
  <c r="C30" i="35"/>
  <c r="C145" i="35"/>
  <c r="D34" i="35"/>
  <c r="C97" i="35"/>
  <c r="B83" i="35"/>
  <c r="D136" i="35"/>
  <c r="C53" i="35"/>
  <c r="C138" i="35"/>
  <c r="B14" i="35"/>
  <c r="D114" i="35"/>
  <c r="B111" i="35"/>
  <c r="D120" i="35"/>
  <c r="B147" i="35"/>
  <c r="B143" i="35"/>
  <c r="B45" i="35"/>
  <c r="D125" i="35"/>
  <c r="B74" i="35"/>
  <c r="B125" i="35"/>
  <c r="D123" i="35"/>
  <c r="D74" i="35"/>
  <c r="C127" i="35"/>
  <c r="C101" i="35"/>
  <c r="C142" i="35"/>
  <c r="D35" i="35"/>
  <c r="B32" i="35"/>
  <c r="D144" i="35"/>
  <c r="B93" i="35"/>
  <c r="D66" i="35"/>
  <c r="C147" i="35"/>
  <c r="C104" i="35"/>
  <c r="C54" i="35"/>
  <c r="B30" i="35"/>
  <c r="B42" i="35"/>
  <c r="D50" i="35"/>
  <c r="C71" i="35"/>
  <c r="C82" i="35"/>
  <c r="C45" i="35"/>
  <c r="C32" i="35"/>
  <c r="C156" i="35"/>
  <c r="D129" i="35"/>
  <c r="D77" i="35"/>
  <c r="D110" i="35"/>
  <c r="B58" i="35"/>
  <c r="D127" i="35"/>
  <c r="B155" i="35"/>
  <c r="D108" i="35"/>
  <c r="B85" i="35"/>
  <c r="B79" i="35"/>
  <c r="D152" i="35"/>
  <c r="B142" i="35"/>
  <c r="D89" i="35"/>
  <c r="D158" i="35"/>
  <c r="D86" i="35"/>
  <c r="D49" i="35"/>
  <c r="B139" i="35"/>
  <c r="D46" i="35"/>
  <c r="B54" i="35"/>
  <c r="B104" i="35"/>
  <c r="D137" i="35"/>
  <c r="D44" i="35"/>
  <c r="D100" i="35"/>
  <c r="D107" i="35"/>
  <c r="B158" i="35"/>
  <c r="D47" i="35"/>
  <c r="B131" i="35"/>
  <c r="B133" i="35"/>
  <c r="B59" i="35"/>
  <c r="B127" i="35"/>
  <c r="D130" i="35"/>
  <c r="B77" i="35"/>
  <c r="B153" i="35"/>
  <c r="D112" i="35"/>
  <c r="B95" i="35"/>
  <c r="B126" i="35"/>
  <c r="B123" i="35"/>
  <c r="C47" i="35"/>
  <c r="C34" i="35"/>
  <c r="C160" i="35"/>
  <c r="C149" i="35"/>
  <c r="C108" i="35"/>
  <c r="B39" i="35"/>
  <c r="B34" i="35"/>
  <c r="D58" i="35"/>
  <c r="D82" i="35"/>
  <c r="C67" i="35"/>
  <c r="C74" i="35"/>
  <c r="C41" i="35"/>
  <c r="C148" i="35"/>
  <c r="B80" i="35"/>
  <c r="D72" i="35"/>
  <c r="D81" i="35"/>
  <c r="D128" i="35"/>
  <c r="D78" i="35"/>
  <c r="B140" i="35"/>
  <c r="D149" i="35"/>
  <c r="B50" i="35"/>
  <c r="D103" i="35"/>
  <c r="B46" i="35"/>
  <c r="C96" i="35"/>
  <c r="C44" i="35"/>
  <c r="B75" i="35"/>
  <c r="C163" i="35"/>
  <c r="C137" i="35"/>
  <c r="B157" i="35"/>
  <c r="D61" i="35"/>
  <c r="B89" i="35"/>
  <c r="B145" i="35"/>
  <c r="B99" i="35"/>
  <c r="B163" i="35"/>
  <c r="D97" i="35"/>
  <c r="B109" i="35"/>
  <c r="D94" i="35"/>
  <c r="B49" i="35"/>
  <c r="D143" i="35"/>
  <c r="D159" i="35"/>
  <c r="D92" i="35"/>
  <c r="D91" i="35"/>
  <c r="B128" i="35"/>
  <c r="D55" i="35"/>
  <c r="B161" i="35"/>
  <c r="B135" i="35"/>
  <c r="D96" i="35"/>
  <c r="B108" i="35"/>
  <c r="D133" i="35"/>
  <c r="C37" i="35"/>
  <c r="C66" i="35"/>
  <c r="C63" i="35"/>
  <c r="D98" i="35"/>
  <c r="B115" i="35"/>
  <c r="B69" i="35"/>
  <c r="B60" i="35"/>
  <c r="D115" i="35"/>
  <c r="B156" i="35"/>
  <c r="D160" i="35"/>
  <c r="B63" i="35"/>
  <c r="B150" i="35"/>
  <c r="D162" i="35"/>
  <c r="D88" i="35"/>
  <c r="D79" i="35"/>
  <c r="B64" i="35"/>
  <c r="B137" i="35"/>
  <c r="D68" i="35"/>
  <c r="D45" i="35"/>
  <c r="D105" i="35"/>
  <c r="B110" i="35"/>
  <c r="D138" i="35"/>
  <c r="B134" i="35"/>
  <c r="B141" i="35"/>
  <c r="B107" i="35"/>
  <c r="C73" i="35"/>
  <c r="C99" i="35"/>
  <c r="B144" i="35"/>
  <c r="B37" i="35"/>
  <c r="C46" i="35"/>
  <c r="C98" i="35"/>
  <c r="B71" i="35"/>
  <c r="B116" i="35"/>
  <c r="D106" i="35"/>
  <c r="B129" i="35"/>
  <c r="C70" i="35"/>
  <c r="C120" i="35"/>
  <c r="C59" i="35"/>
  <c r="D141" i="35"/>
  <c r="C102" i="35"/>
  <c r="C81" i="35"/>
  <c r="C154" i="35"/>
  <c r="C107" i="35"/>
  <c r="B65" i="35"/>
  <c r="B162" i="35"/>
  <c r="D53" i="35"/>
  <c r="B120" i="35"/>
  <c r="C62" i="35"/>
  <c r="C61" i="35"/>
  <c r="C114" i="35"/>
  <c r="C87" i="35"/>
  <c r="B130" i="35"/>
  <c r="B97" i="35"/>
  <c r="C118" i="35"/>
  <c r="C65" i="35"/>
  <c r="B15" i="35"/>
  <c r="D117" i="35"/>
  <c r="D39" i="35"/>
  <c r="C94" i="35"/>
  <c r="C77" i="35"/>
  <c r="C146" i="35"/>
  <c r="C103" i="35"/>
  <c r="B66" i="35"/>
  <c r="D135" i="35"/>
  <c r="C52" i="35"/>
  <c r="C42" i="35"/>
  <c r="C51" i="35"/>
  <c r="D51" i="35"/>
  <c r="D134" i="35"/>
  <c r="B40" i="35"/>
  <c r="C76" i="35"/>
  <c r="C133" i="35"/>
  <c r="C128" i="35"/>
  <c r="C159" i="35"/>
  <c r="D15" i="35"/>
  <c r="D70" i="35"/>
  <c r="D163" i="35"/>
  <c r="B70" i="35"/>
  <c r="D48" i="35"/>
  <c r="B67" i="35"/>
  <c r="B138" i="35"/>
  <c r="D132" i="35"/>
  <c r="D113" i="35"/>
  <c r="B57" i="35"/>
  <c r="B136" i="35"/>
  <c r="C136" i="35"/>
  <c r="B92" i="35"/>
  <c r="D33" i="35"/>
  <c r="C143" i="35"/>
  <c r="D156" i="35"/>
  <c r="D42" i="35"/>
  <c r="D139" i="35"/>
  <c r="B87" i="35"/>
  <c r="D59" i="35"/>
  <c r="D38" i="35"/>
  <c r="C72" i="35"/>
  <c r="B160" i="35"/>
  <c r="D147" i="35"/>
  <c r="C85" i="35"/>
  <c r="C111" i="35"/>
  <c r="B61" i="35"/>
  <c r="B102" i="35"/>
  <c r="D104" i="35"/>
  <c r="B48" i="35"/>
  <c r="D60" i="35"/>
  <c r="B68" i="35"/>
  <c r="D62" i="35"/>
  <c r="D65" i="35"/>
  <c r="D56" i="35"/>
  <c r="B96" i="35"/>
  <c r="D84" i="35"/>
  <c r="D153" i="35"/>
  <c r="D150" i="35"/>
  <c r="B90" i="35"/>
  <c r="D145" i="35"/>
  <c r="D43" i="35"/>
  <c r="B47" i="35"/>
  <c r="D154" i="35"/>
</calcChain>
</file>

<file path=xl/sharedStrings.xml><?xml version="1.0" encoding="utf-8"?>
<sst xmlns="http://schemas.openxmlformats.org/spreadsheetml/2006/main" count="1658" uniqueCount="604">
  <si>
    <t>row</t>
  </si>
  <si>
    <t xml:space="preserve"> </t>
  </si>
  <si>
    <t>course_type</t>
  </si>
  <si>
    <t>course_details</t>
  </si>
  <si>
    <t>ay1819</t>
  </si>
  <si>
    <t>ay1920</t>
  </si>
  <si>
    <t>ay2021</t>
  </si>
  <si>
    <t>ay2122</t>
  </si>
  <si>
    <t>fee</t>
  </si>
  <si>
    <t>basic_fee_cap</t>
  </si>
  <si>
    <t>higher_fee_cap</t>
  </si>
  <si>
    <t>tab</t>
  </si>
  <si>
    <r>
      <rPr>
        <b/>
        <i/>
        <sz val="12"/>
        <color indexed="8"/>
        <rFont val="Arial"/>
        <family val="2"/>
      </rPr>
      <t xml:space="preserve">Table 1a </t>
    </r>
    <r>
      <rPr>
        <i/>
        <sz val="12"/>
        <color indexed="8"/>
        <rFont val="Arial"/>
        <family val="2"/>
      </rPr>
      <t>- Full-time courses: fee limits and student numbers</t>
    </r>
  </si>
  <si>
    <t>additional info</t>
  </si>
  <si>
    <t>Row</t>
  </si>
  <si>
    <t>Please select the course type from the drop-down menu</t>
  </si>
  <si>
    <t>Fee type lookup</t>
  </si>
  <si>
    <t>Does OFFA regulate this fee?</t>
  </si>
  <si>
    <t>Does row contain any data?</t>
  </si>
  <si>
    <t>Is row complete?</t>
  </si>
  <si>
    <t>Are there any students inserted?</t>
  </si>
  <si>
    <t>Cell Validation</t>
  </si>
  <si>
    <t>Using basic fee cap of</t>
  </si>
  <si>
    <t>Using higher fee cap of</t>
  </si>
  <si>
    <t>Course fee</t>
  </si>
  <si>
    <t>2018-19</t>
  </si>
  <si>
    <t>2019-20</t>
  </si>
  <si>
    <t>2020-21</t>
  </si>
  <si>
    <t>2021-22</t>
  </si>
  <si>
    <t>1a</t>
  </si>
  <si>
    <t>2022-23</t>
  </si>
  <si>
    <t>CON(Q)</t>
  </si>
  <si>
    <t xml:space="preserve">Institution name: </t>
  </si>
  <si>
    <t xml:space="preserve">Institution UKPRN: </t>
  </si>
  <si>
    <t>Validation checks</t>
  </si>
  <si>
    <t>VALIDATION</t>
  </si>
  <si>
    <t>1. Please ensure that contact details are completed for two people.</t>
  </si>
  <si>
    <t>2. Please ensure the question about sharing contact details is answered.</t>
  </si>
  <si>
    <t>Fair Processing Notice</t>
  </si>
  <si>
    <t>contact1</t>
  </si>
  <si>
    <t>contact2</t>
  </si>
  <si>
    <t>type</t>
  </si>
  <si>
    <t xml:space="preserve"> Main contact </t>
  </si>
  <si>
    <t>Alternative contact</t>
  </si>
  <si>
    <t>Name</t>
  </si>
  <si>
    <t>name</t>
  </si>
  <si>
    <t>Job title</t>
  </si>
  <si>
    <t>jobtitle</t>
  </si>
  <si>
    <t>Telephone</t>
  </si>
  <si>
    <t>phone</t>
  </si>
  <si>
    <t>E-mail</t>
  </si>
  <si>
    <t>email</t>
  </si>
  <si>
    <t>sharecontact</t>
  </si>
  <si>
    <t>answer</t>
  </si>
  <si>
    <t>Are you happy for us to share your contact details?</t>
  </si>
  <si>
    <t>Main contact</t>
  </si>
  <si>
    <t>sharecontact2</t>
  </si>
  <si>
    <t>Important template notes</t>
  </si>
  <si>
    <t>FTF</t>
  </si>
  <si>
    <t>Validation checks:</t>
  </si>
  <si>
    <t>Notes</t>
  </si>
  <si>
    <t>FTFFR</t>
  </si>
  <si>
    <t>franchise_ukprn</t>
  </si>
  <si>
    <t>Franchise institution
(Name and UKPRN)</t>
  </si>
  <si>
    <t>www.ukrlp.co.uk</t>
  </si>
  <si>
    <t>1b</t>
  </si>
  <si>
    <t>Course fee and fee caps (£)</t>
  </si>
  <si>
    <t>PTF</t>
  </si>
  <si>
    <t>system_type</t>
  </si>
  <si>
    <t>fte_fee</t>
  </si>
  <si>
    <t>max_fee</t>
  </si>
  <si>
    <r>
      <rPr>
        <b/>
        <i/>
        <sz val="12"/>
        <color indexed="8"/>
        <rFont val="Arial"/>
        <family val="2"/>
      </rPr>
      <t>Table 2</t>
    </r>
    <r>
      <rPr>
        <i/>
        <sz val="12"/>
        <color indexed="8"/>
        <rFont val="Arial"/>
        <family val="2"/>
      </rPr>
      <t>- Part-time courses: fee limits</t>
    </r>
  </si>
  <si>
    <t>TEF Status</t>
  </si>
  <si>
    <t>Fee Lookup</t>
  </si>
  <si>
    <t>Is max fee above maximum cap</t>
  </si>
  <si>
    <t>Franchise institution (Name and UKPRN)</t>
  </si>
  <si>
    <t>Where you have different fee limits for different courses, please provide more information e.g. subject/faculty groupings</t>
  </si>
  <si>
    <t>Full-time equivalent course fee</t>
  </si>
  <si>
    <t>Maximum fee charged in any academic year</t>
  </si>
  <si>
    <t>STUHFI</t>
  </si>
  <si>
    <t>Academic year</t>
  </si>
  <si>
    <t>2017-18</t>
  </si>
  <si>
    <t>Full-time</t>
  </si>
  <si>
    <t>All students</t>
  </si>
  <si>
    <t>of which above the basic fee</t>
  </si>
  <si>
    <t>Total students</t>
  </si>
  <si>
    <t>Total higher fee income</t>
  </si>
  <si>
    <t>commentary</t>
  </si>
  <si>
    <r>
      <rPr>
        <b/>
        <sz val="11"/>
        <color indexed="8"/>
        <rFont val="Arial"/>
        <family val="2"/>
      </rPr>
      <t xml:space="preserve">Optional commentary on fee income and predicted student numbers. </t>
    </r>
    <r>
      <rPr>
        <sz val="11"/>
        <color indexed="8"/>
        <rFont val="Arial"/>
        <family val="2"/>
      </rPr>
      <t xml:space="preserve">
If there is additional information that you would like to make us aware of you can include this here. 
This box is limited to 500 words; however, we are happy for you to upload additional ‘supporting information’ as a separate Word/pdf document.</t>
    </r>
  </si>
  <si>
    <t xml:space="preserve">Course fee (£) </t>
  </si>
  <si>
    <t>Fee classification 
Below basic fee cap, Between basic and higher fee cap, Above higher fee cap
(BBFC/BBHFC
/AHFC)</t>
  </si>
  <si>
    <t>Course type lookup</t>
  </si>
  <si>
    <t>Fee income above the basic</t>
  </si>
  <si>
    <t>TEF</t>
  </si>
  <si>
    <t>No</t>
  </si>
  <si>
    <t>AEXP</t>
  </si>
  <si>
    <t>4a</t>
  </si>
  <si>
    <t>Academic Year</t>
  </si>
  <si>
    <t>4b</t>
  </si>
  <si>
    <r>
      <rPr>
        <b/>
        <sz val="10"/>
        <color indexed="8"/>
        <rFont val="Arial"/>
        <family val="2"/>
      </rPr>
      <t>Optional commentary</t>
    </r>
    <r>
      <rPr>
        <sz val="10"/>
        <color indexed="8"/>
        <rFont val="Arial"/>
        <family val="2"/>
      </rPr>
      <t xml:space="preserve">
This box is limited to 500 words; however, we are happy for you to upload additional ‘supporting information’ as a separate Word/pdf document.</t>
    </r>
  </si>
  <si>
    <t>FINS</t>
  </si>
  <si>
    <r>
      <rPr>
        <b/>
        <sz val="10"/>
        <color indexed="8"/>
        <rFont val="Arial"/>
        <family val="2"/>
      </rPr>
      <t>Fee waivers</t>
    </r>
    <r>
      <rPr>
        <sz val="10"/>
        <color indexed="8"/>
        <rFont val="Arial"/>
        <family val="2"/>
      </rPr>
      <t xml:space="preserve">
(including free or discounted foundation years)</t>
    </r>
  </si>
  <si>
    <t>Students with household residual incomes up to £25,000</t>
  </si>
  <si>
    <t>5a</t>
  </si>
  <si>
    <t>Part-time</t>
  </si>
  <si>
    <t>Fee waivers for all students</t>
  </si>
  <si>
    <r>
      <rPr>
        <b/>
        <sz val="10"/>
        <color indexed="8"/>
        <rFont val="Arial"/>
        <family val="2"/>
      </rPr>
      <t xml:space="preserve">Bursaries and scholarships </t>
    </r>
    <r>
      <rPr>
        <sz val="10"/>
        <color indexed="8"/>
        <rFont val="Arial"/>
        <family val="2"/>
      </rPr>
      <t xml:space="preserve">
(including accommodation discounts and other institutional services)</t>
    </r>
  </si>
  <si>
    <t>Bursaries and scholarships for all students</t>
  </si>
  <si>
    <t>Student choice</t>
  </si>
  <si>
    <t>Student choice for all students</t>
  </si>
  <si>
    <t>Hardship funds</t>
  </si>
  <si>
    <t>Hardship funds for all students</t>
  </si>
  <si>
    <t>Total financial support</t>
  </si>
  <si>
    <t>5b</t>
  </si>
  <si>
    <t>5c</t>
  </si>
  <si>
    <t>Yes</t>
  </si>
  <si>
    <t>SUMM</t>
  </si>
  <si>
    <t>Higher fee income (HFI)</t>
  </si>
  <si>
    <t>Average fee</t>
  </si>
  <si>
    <t>Average fee adjusted for fee waivers</t>
  </si>
  <si>
    <t>Maximum fee</t>
  </si>
  <si>
    <r>
      <rPr>
        <b/>
        <sz val="10"/>
        <rFont val="Arial"/>
        <family val="2"/>
      </rPr>
      <t>Optional commentary</t>
    </r>
    <r>
      <rPr>
        <sz val="10"/>
        <rFont val="Arial"/>
        <family val="2"/>
      </rPr>
      <t xml:space="preserve">
This box is limited to 500 words; however, we are happy for you to upload additional ‘supporting information’ as a separate Word/pdf document.</t>
    </r>
  </si>
  <si>
    <t>6a</t>
  </si>
  <si>
    <t>MILE</t>
  </si>
  <si>
    <t>ref_num</t>
  </si>
  <si>
    <t>lifecycle_stage</t>
  </si>
  <si>
    <t>main_target</t>
  </si>
  <si>
    <t>target_type</t>
  </si>
  <si>
    <t>description</t>
  </si>
  <si>
    <t>collab</t>
  </si>
  <si>
    <t>base_yr</t>
  </si>
  <si>
    <t>base_data</t>
  </si>
  <si>
    <t>Cell validation</t>
  </si>
  <si>
    <t>Reference number</t>
  </si>
  <si>
    <t>Stage of the lifecycle (drop-down menu)</t>
  </si>
  <si>
    <t>Main target type (drop-down menu)</t>
  </si>
  <si>
    <t>Target type (drop-down menu)</t>
  </si>
  <si>
    <t>Description 
(500 characters maximum)</t>
  </si>
  <si>
    <t>Is this a collaborative target? (drop-down menu)</t>
  </si>
  <si>
    <t>Baseline year (drop-down menu)</t>
  </si>
  <si>
    <t>Baseline data</t>
  </si>
  <si>
    <t>Yearly milestones (numeric where possible, however you may use text)</t>
  </si>
  <si>
    <t>Commentary on your milestones/targets or textual description where numerical description is not appropriate (500 characters maximum)</t>
  </si>
  <si>
    <t>Has Data?</t>
  </si>
  <si>
    <t>Is the target type column a valid selection?</t>
  </si>
  <si>
    <t>Is the cell complete?</t>
  </si>
  <si>
    <t>Has the cell changed from the prefill?</t>
  </si>
  <si>
    <t>has a reference number</t>
  </si>
  <si>
    <t>has a unique reference number</t>
  </si>
  <si>
    <t>Reference Number</t>
  </si>
  <si>
    <t>7a</t>
  </si>
  <si>
    <t>T16a_01</t>
  </si>
  <si>
    <t>T16a_02</t>
  </si>
  <si>
    <t>T16a_03</t>
  </si>
  <si>
    <t>T16a_04</t>
  </si>
  <si>
    <t>T16a_05</t>
  </si>
  <si>
    <t>T16a_06</t>
  </si>
  <si>
    <t>T16a_07</t>
  </si>
  <si>
    <t>T16a_08</t>
  </si>
  <si>
    <t>T16a_09</t>
  </si>
  <si>
    <t>T16a_10</t>
  </si>
  <si>
    <t>T16a_11</t>
  </si>
  <si>
    <t>T16a_12</t>
  </si>
  <si>
    <t>T16a_13</t>
  </si>
  <si>
    <t>T16a_14</t>
  </si>
  <si>
    <t>T16a_15</t>
  </si>
  <si>
    <t>T16a_16</t>
  </si>
  <si>
    <t>T16a_17</t>
  </si>
  <si>
    <t>T16a_18</t>
  </si>
  <si>
    <t>T16a_19</t>
  </si>
  <si>
    <t>T16a_20</t>
  </si>
  <si>
    <t>T16a_21</t>
  </si>
  <si>
    <t>T16a_22</t>
  </si>
  <si>
    <t>T16a_23</t>
  </si>
  <si>
    <t>T16a_24</t>
  </si>
  <si>
    <t>T16a_25</t>
  </si>
  <si>
    <t>T16a_26</t>
  </si>
  <si>
    <t>T16a_27</t>
  </si>
  <si>
    <t>T16a_28</t>
  </si>
  <si>
    <t>T16a_29</t>
  </si>
  <si>
    <t>T16a_30</t>
  </si>
  <si>
    <t>T16a_31</t>
  </si>
  <si>
    <t>T16a_32</t>
  </si>
  <si>
    <t>T16a_33</t>
  </si>
  <si>
    <t>T16a_34</t>
  </si>
  <si>
    <t>T16a_35</t>
  </si>
  <si>
    <t>T16a_36</t>
  </si>
  <si>
    <t>T16a_37</t>
  </si>
  <si>
    <t>T16a_38</t>
  </si>
  <si>
    <t>T16a_39</t>
  </si>
  <si>
    <t>T16a_40</t>
  </si>
  <si>
    <t>Tab 7a prefill data</t>
  </si>
  <si>
    <t>Select stage of the lifecycle</t>
  </si>
  <si>
    <t>Is this a collaborative target?</t>
  </si>
  <si>
    <t>Baseline year</t>
  </si>
  <si>
    <t>T16b_01</t>
  </si>
  <si>
    <t>T16b_02</t>
  </si>
  <si>
    <t>T16b_03</t>
  </si>
  <si>
    <t>T16b_04</t>
  </si>
  <si>
    <t>T16b_05</t>
  </si>
  <si>
    <t>T16b_06</t>
  </si>
  <si>
    <t>T16b_07</t>
  </si>
  <si>
    <t>T16b_08</t>
  </si>
  <si>
    <t>T16b_09</t>
  </si>
  <si>
    <t>T16b_10</t>
  </si>
  <si>
    <t>T16b_11</t>
  </si>
  <si>
    <t>T16b_12</t>
  </si>
  <si>
    <t>T16b_13</t>
  </si>
  <si>
    <t>T16b_14</t>
  </si>
  <si>
    <t>T16b_15</t>
  </si>
  <si>
    <t>T16b_16</t>
  </si>
  <si>
    <t>T16b_17</t>
  </si>
  <si>
    <t>T16b_18</t>
  </si>
  <si>
    <t>T16b_19</t>
  </si>
  <si>
    <t>T16b_20</t>
  </si>
  <si>
    <t>T16b_21</t>
  </si>
  <si>
    <t>T16b_22</t>
  </si>
  <si>
    <t>T16b_23</t>
  </si>
  <si>
    <t>T16b_24</t>
  </si>
  <si>
    <t>T16b_25</t>
  </si>
  <si>
    <t>T16b_26</t>
  </si>
  <si>
    <t>T16b_27</t>
  </si>
  <si>
    <t>T16b_28</t>
  </si>
  <si>
    <t>T16b_29</t>
  </si>
  <si>
    <t>T16b_30</t>
  </si>
  <si>
    <t>T16b_31</t>
  </si>
  <si>
    <t>T16b_32</t>
  </si>
  <si>
    <t>T16b_33</t>
  </si>
  <si>
    <t>T16b_34</t>
  </si>
  <si>
    <t>T16b_35</t>
  </si>
  <si>
    <t>T16b_36</t>
  </si>
  <si>
    <t>T16b_37</t>
  </si>
  <si>
    <t>T16b_38</t>
  </si>
  <si>
    <t>T16b_39</t>
  </si>
  <si>
    <t>T16b_40</t>
  </si>
  <si>
    <t>Tab 7b prefill data</t>
  </si>
  <si>
    <t>milestone</t>
  </si>
  <si>
    <r>
      <rPr>
        <b/>
        <sz val="10"/>
        <rFont val="Arial"/>
        <family val="2"/>
      </rPr>
      <t xml:space="preserve">Optional commentary on milestones. </t>
    </r>
    <r>
      <rPr>
        <sz val="10"/>
        <rFont val="Arial"/>
        <family val="2"/>
      </rPr>
      <t xml:space="preserve">
This box is character-limited to 1000 characters; however, we are happy for you to upload additional ‘supporting information’ as a separate Word/pdf document.</t>
    </r>
  </si>
  <si>
    <t>Validation</t>
  </si>
  <si>
    <t>ALL VALIDATION</t>
  </si>
  <si>
    <t>Contact - Contact Information</t>
  </si>
  <si>
    <t>Assurance - Assuring your return</t>
  </si>
  <si>
    <t>1. Please ensure that senior manager details are completed.</t>
  </si>
  <si>
    <t>Assuring your return</t>
  </si>
  <si>
    <t>ASSUR</t>
  </si>
  <si>
    <t>senior_contact</t>
  </si>
  <si>
    <t>Fee level lookup tables</t>
  </si>
  <si>
    <t>Rates (edit this one if changing fee levels)</t>
  </si>
  <si>
    <t>CODE TABLE FOR COURSE/SYSTEM COMBINATIONS (ALL AUTOMATIC NO NOT TOUCH)</t>
  </si>
  <si>
    <t>FEE Code</t>
  </si>
  <si>
    <t>Standard Fee</t>
  </si>
  <si>
    <t>Fee cap</t>
  </si>
  <si>
    <t>COURSE IDENT</t>
  </si>
  <si>
    <t>used for average fee calculation</t>
  </si>
  <si>
    <t>System Type</t>
  </si>
  <si>
    <t>Course Type</t>
  </si>
  <si>
    <t>FULL_No_TEF_</t>
  </si>
  <si>
    <t>yes</t>
  </si>
  <si>
    <t>No TEF</t>
  </si>
  <si>
    <t>First degree</t>
  </si>
  <si>
    <t>SAND_No_TEF_</t>
  </si>
  <si>
    <t>Sandwich course</t>
  </si>
  <si>
    <t>no</t>
  </si>
  <si>
    <t>Foundation degree</t>
  </si>
  <si>
    <t>LOWER_No_TEF_</t>
  </si>
  <si>
    <t>Erasmus and overseas study years</t>
  </si>
  <si>
    <t>Foundation year / Year 0</t>
  </si>
  <si>
    <t>HNC / HND</t>
  </si>
  <si>
    <t>CertHE / DipHE</t>
  </si>
  <si>
    <t>Postgraduate ITT</t>
  </si>
  <si>
    <t>Other</t>
  </si>
  <si>
    <t>Sandwich</t>
  </si>
  <si>
    <t xml:space="preserve">Sandwich course </t>
  </si>
  <si>
    <t>Lower fees</t>
  </si>
  <si>
    <t>All</t>
  </si>
  <si>
    <t>PART_No_TEF_</t>
  </si>
  <si>
    <t>Drop Down Boxes</t>
  </si>
  <si>
    <t>General Use</t>
  </si>
  <si>
    <t>FT Fee &amp; PT Fee</t>
  </si>
  <si>
    <t>Milestones</t>
  </si>
  <si>
    <t>Attainment Raising</t>
  </si>
  <si>
    <t>GEN_yes_no</t>
  </si>
  <si>
    <t>FTF_full_fee_course_type</t>
  </si>
  <si>
    <t>MILE_target_type</t>
  </si>
  <si>
    <t>MILE_perform_sum</t>
  </si>
  <si>
    <t>Sponsor_type</t>
  </si>
  <si>
    <t>State school</t>
  </si>
  <si>
    <t>Target Removed</t>
  </si>
  <si>
    <t>Academy</t>
  </si>
  <si>
    <t>Socio-economic</t>
  </si>
  <si>
    <t>New target</t>
  </si>
  <si>
    <t>Free school</t>
  </si>
  <si>
    <t>Low participation neighbourhoods (LPN)</t>
  </si>
  <si>
    <t>Duplicate record removed</t>
  </si>
  <si>
    <t>UTC</t>
  </si>
  <si>
    <t>GEN_yes_no_na</t>
  </si>
  <si>
    <t>Mature</t>
  </si>
  <si>
    <t>Error on previous return</t>
  </si>
  <si>
    <t>Studio school</t>
  </si>
  <si>
    <t>Disabled</t>
  </si>
  <si>
    <t>Baseline data/year change</t>
  </si>
  <si>
    <t>Care-leavers</t>
  </si>
  <si>
    <t>Descriptive change</t>
  </si>
  <si>
    <t>N/A</t>
  </si>
  <si>
    <t>Ethnicity</t>
  </si>
  <si>
    <t>Target categorised</t>
  </si>
  <si>
    <t>Sponsor_rel</t>
  </si>
  <si>
    <t>Gender</t>
  </si>
  <si>
    <t>Updated based on new/latest data</t>
  </si>
  <si>
    <t>Lead sponsor</t>
  </si>
  <si>
    <t>Low income background</t>
  </si>
  <si>
    <t>Other (please give details in Commentary column)</t>
  </si>
  <si>
    <t>Co-sponsor</t>
  </si>
  <si>
    <t>MAT</t>
  </si>
  <si>
    <t>PTF_course_type</t>
  </si>
  <si>
    <t>White economically disadvantaged males</t>
  </si>
  <si>
    <t>MILE_val_choice</t>
  </si>
  <si>
    <t>Other (please specify)</t>
  </si>
  <si>
    <t>School sponsorship</t>
  </si>
  <si>
    <t>Attainment raising</t>
  </si>
  <si>
    <t>Phase</t>
  </si>
  <si>
    <t>Multiple</t>
  </si>
  <si>
    <t>Primary</t>
  </si>
  <si>
    <t>Other (please give details in Description column)</t>
  </si>
  <si>
    <t>MILE_lifecycle_stage</t>
  </si>
  <si>
    <t>Secondary</t>
  </si>
  <si>
    <t>Access</t>
  </si>
  <si>
    <t>Middle deemed primary</t>
  </si>
  <si>
    <t>MILE_target_type_general</t>
  </si>
  <si>
    <t>Middle deemed secondary</t>
  </si>
  <si>
    <t>Year abroad</t>
  </si>
  <si>
    <t>Lifelong learning</t>
  </si>
  <si>
    <t>Progression</t>
  </si>
  <si>
    <t>All through</t>
  </si>
  <si>
    <t>Management targets</t>
  </si>
  <si>
    <t>11-16</t>
  </si>
  <si>
    <t>Mission targets</t>
  </si>
  <si>
    <t>14-19</t>
  </si>
  <si>
    <t>New_Cont</t>
  </si>
  <si>
    <t>Operational targets</t>
  </si>
  <si>
    <t>16-19</t>
  </si>
  <si>
    <t>New students from 2018/19 onwards</t>
  </si>
  <si>
    <t>Outreach / WP activity (summer schools)</t>
  </si>
  <si>
    <t>Continuing students who started in 2016-17 or earlier</t>
  </si>
  <si>
    <t>Outreach / WP activity (collaborative - please give details in the next column)</t>
  </si>
  <si>
    <t>Students who started in academic year 2017/18</t>
  </si>
  <si>
    <t>Outreach / WP activity (other - please give details in the next column)</t>
  </si>
  <si>
    <t>New &amp; continuing students</t>
  </si>
  <si>
    <t>Contextual data</t>
  </si>
  <si>
    <t>Strategic partnerships (eg formal relationships with schools/colleges/employers)</t>
  </si>
  <si>
    <t>TEF2_status</t>
  </si>
  <si>
    <t>Student support services</t>
  </si>
  <si>
    <t>MILE_base_yr</t>
  </si>
  <si>
    <t>2012-13</t>
  </si>
  <si>
    <t>2013-14</t>
  </si>
  <si>
    <t>2014-15</t>
  </si>
  <si>
    <t>2015-16</t>
  </si>
  <si>
    <t>2016-17</t>
  </si>
  <si>
    <t>low income background</t>
  </si>
  <si>
    <r>
      <rPr>
        <b/>
        <sz val="11"/>
        <color theme="1"/>
        <rFont val="Arial"/>
        <family val="2"/>
      </rPr>
      <t>HESA T1a</t>
    </r>
    <r>
      <rPr>
        <sz val="11"/>
        <color theme="1"/>
        <rFont val="Arial"/>
        <family val="2"/>
      </rPr>
      <t xml:space="preserve"> - State School (Young, full-time, first degree entrants)</t>
    </r>
  </si>
  <si>
    <r>
      <rPr>
        <b/>
        <sz val="11"/>
        <color theme="1"/>
        <rFont val="Arial"/>
        <family val="2"/>
      </rPr>
      <t>HESA T1a</t>
    </r>
    <r>
      <rPr>
        <sz val="11"/>
        <color theme="1"/>
        <rFont val="Arial"/>
        <family val="2"/>
      </rPr>
      <t xml:space="preserve"> - Low participation neighbourhoods (POLAR3) (Young, full-time, first degree entrants)</t>
    </r>
  </si>
  <si>
    <r>
      <rPr>
        <b/>
        <sz val="11"/>
        <color theme="1"/>
        <rFont val="Arial"/>
        <family val="2"/>
      </rPr>
      <t>HESA T1b</t>
    </r>
    <r>
      <rPr>
        <sz val="11"/>
        <color theme="1"/>
        <rFont val="Arial"/>
        <family val="2"/>
      </rPr>
      <t xml:space="preserve"> - State School (Young, full-time, undergraduate entrants)</t>
    </r>
  </si>
  <si>
    <r>
      <rPr>
        <b/>
        <sz val="11"/>
        <color theme="1"/>
        <rFont val="Arial"/>
        <family val="2"/>
      </rPr>
      <t>HESA T1b</t>
    </r>
    <r>
      <rPr>
        <sz val="11"/>
        <color theme="1"/>
        <rFont val="Arial"/>
        <family val="2"/>
      </rPr>
      <t xml:space="preserve"> - Low participation neighbourhoods (POLAR3) (Young, full-time, undergraduate entrants)</t>
    </r>
  </si>
  <si>
    <r>
      <rPr>
        <b/>
        <sz val="11"/>
        <color theme="1"/>
        <rFont val="Arial"/>
        <family val="2"/>
      </rPr>
      <t>HESA T1c</t>
    </r>
    <r>
      <rPr>
        <sz val="11"/>
        <color theme="1"/>
        <rFont val="Arial"/>
        <family val="2"/>
      </rPr>
      <t xml:space="preserve"> - State School (Young, full-time, other undergraduate entrants)</t>
    </r>
  </si>
  <si>
    <r>
      <rPr>
        <b/>
        <sz val="11"/>
        <color theme="1"/>
        <rFont val="Arial"/>
        <family val="2"/>
      </rPr>
      <t>HESA T1c</t>
    </r>
    <r>
      <rPr>
        <sz val="11"/>
        <color theme="1"/>
        <rFont val="Arial"/>
        <family val="2"/>
      </rPr>
      <t xml:space="preserve"> - Low participation neighbourhoods (POLAR3) (Young, full-time, other undergraduate entrants)</t>
    </r>
  </si>
  <si>
    <r>
      <rPr>
        <b/>
        <sz val="11"/>
        <color theme="1"/>
        <rFont val="Arial"/>
        <family val="2"/>
      </rPr>
      <t>HESA T2a</t>
    </r>
    <r>
      <rPr>
        <sz val="11"/>
        <color theme="1"/>
        <rFont val="Arial"/>
        <family val="2"/>
      </rPr>
      <t xml:space="preserve"> - (Mature, full-time, first degree entrants)</t>
    </r>
  </si>
  <si>
    <r>
      <rPr>
        <b/>
        <sz val="11"/>
        <color theme="1"/>
        <rFont val="Arial"/>
        <family val="2"/>
      </rPr>
      <t>HESA T2a</t>
    </r>
    <r>
      <rPr>
        <sz val="11"/>
        <color theme="1"/>
        <rFont val="Arial"/>
        <family val="2"/>
      </rPr>
      <t xml:space="preserve"> - (Mature, full-time, all undergraduate entrants)</t>
    </r>
  </si>
  <si>
    <r>
      <rPr>
        <b/>
        <sz val="11"/>
        <color theme="1"/>
        <rFont val="Arial"/>
        <family val="2"/>
      </rPr>
      <t>HESA T2b</t>
    </r>
    <r>
      <rPr>
        <sz val="11"/>
        <color theme="1"/>
        <rFont val="Arial"/>
        <family val="2"/>
      </rPr>
      <t xml:space="preserve"> - Low participation neighbourhoods (POLAR3) (Young, part-time entrants)</t>
    </r>
  </si>
  <si>
    <r>
      <rPr>
        <b/>
        <sz val="11"/>
        <color theme="1"/>
        <rFont val="Arial"/>
        <family val="2"/>
      </rPr>
      <t>HESA T2b</t>
    </r>
    <r>
      <rPr>
        <sz val="11"/>
        <color theme="1"/>
        <rFont val="Arial"/>
        <family val="2"/>
      </rPr>
      <t xml:space="preserve"> - Low participation neighbourhoods (POLAR3) (Mature, part-time entrants)</t>
    </r>
  </si>
  <si>
    <r>
      <rPr>
        <b/>
        <sz val="11"/>
        <color theme="1"/>
        <rFont val="Arial"/>
        <family val="2"/>
      </rPr>
      <t>HESA T2b</t>
    </r>
    <r>
      <rPr>
        <sz val="11"/>
        <color theme="1"/>
        <rFont val="Arial"/>
        <family val="2"/>
      </rPr>
      <t xml:space="preserve"> - Low participation neighbourhoods (POLAR3) (All, part-time, entrants)</t>
    </r>
  </si>
  <si>
    <r>
      <rPr>
        <b/>
        <sz val="11"/>
        <color theme="1"/>
        <rFont val="Arial"/>
        <family val="2"/>
      </rPr>
      <t xml:space="preserve">HESA T2c </t>
    </r>
    <r>
      <rPr>
        <sz val="11"/>
        <color theme="1"/>
        <rFont val="Arial"/>
        <family val="2"/>
      </rPr>
      <t>- Low participation neighbourhoods (POLAR3) (Mature, full-time, other undergraduate entrants)</t>
    </r>
  </si>
  <si>
    <r>
      <rPr>
        <b/>
        <sz val="11"/>
        <color theme="1"/>
        <rFont val="Arial"/>
        <family val="2"/>
      </rPr>
      <t>HESA T3a</t>
    </r>
    <r>
      <rPr>
        <sz val="11"/>
        <color theme="1"/>
        <rFont val="Arial"/>
        <family val="2"/>
      </rPr>
      <t xml:space="preserve"> - No longer in HE after 1 year (Young, full-time, first degree entrants)</t>
    </r>
  </si>
  <si>
    <r>
      <rPr>
        <b/>
        <sz val="11"/>
        <color theme="1"/>
        <rFont val="Arial"/>
        <family val="2"/>
      </rPr>
      <t>HESA T3a</t>
    </r>
    <r>
      <rPr>
        <sz val="11"/>
        <color theme="1"/>
        <rFont val="Arial"/>
        <family val="2"/>
      </rPr>
      <t xml:space="preserve"> - No longer in HE after 1 year (Mature, full-time, first degree entrants)</t>
    </r>
  </si>
  <si>
    <r>
      <rPr>
        <b/>
        <sz val="11"/>
        <color theme="1"/>
        <rFont val="Arial"/>
        <family val="2"/>
      </rPr>
      <t>HESA T3a</t>
    </r>
    <r>
      <rPr>
        <sz val="11"/>
        <color theme="1"/>
        <rFont val="Arial"/>
        <family val="2"/>
      </rPr>
      <t xml:space="preserve"> - No longer in HE after 1 year (All, full-time, first degree entrants)</t>
    </r>
  </si>
  <si>
    <r>
      <rPr>
        <b/>
        <sz val="11"/>
        <color theme="1"/>
        <rFont val="Arial"/>
        <family val="2"/>
      </rPr>
      <t>HESA T3b</t>
    </r>
    <r>
      <rPr>
        <sz val="11"/>
        <color theme="1"/>
        <rFont val="Arial"/>
        <family val="2"/>
      </rPr>
      <t xml:space="preserve"> - No longer in HE after 1 year &amp; in low participation neighbourhoods (POLAR 3) (Young, full-time, first degree entrants)</t>
    </r>
  </si>
  <si>
    <r>
      <rPr>
        <b/>
        <sz val="11"/>
        <color theme="1"/>
        <rFont val="Arial"/>
        <family val="2"/>
      </rPr>
      <t>HESA T3b</t>
    </r>
    <r>
      <rPr>
        <sz val="11"/>
        <color theme="1"/>
        <rFont val="Arial"/>
        <family val="2"/>
      </rPr>
      <t xml:space="preserve"> - No longer in HE after 1 year &amp; other neighbourhoods (POLAR 3) (Young, full-time, first degree entrants)</t>
    </r>
  </si>
  <si>
    <r>
      <rPr>
        <b/>
        <sz val="11"/>
        <color theme="1"/>
        <rFont val="Arial"/>
        <family val="2"/>
      </rPr>
      <t xml:space="preserve">HESA T3c </t>
    </r>
    <r>
      <rPr>
        <sz val="11"/>
        <color theme="1"/>
        <rFont val="Arial"/>
        <family val="2"/>
      </rPr>
      <t>- No longer in HE after 1 year &amp; has previous HE qualification (Mature, full-time, first degree entrants)</t>
    </r>
  </si>
  <si>
    <r>
      <rPr>
        <b/>
        <sz val="11"/>
        <color theme="1"/>
        <rFont val="Arial"/>
        <family val="2"/>
      </rPr>
      <t xml:space="preserve">HESA T3c </t>
    </r>
    <r>
      <rPr>
        <sz val="11"/>
        <color theme="1"/>
        <rFont val="Arial"/>
        <family val="2"/>
      </rPr>
      <t>- No longer in HE after 1 year &amp; no previous HE qualification (Mature, full-time, first degree entrants)</t>
    </r>
  </si>
  <si>
    <r>
      <rPr>
        <b/>
        <sz val="11"/>
        <color theme="1"/>
        <rFont val="Arial"/>
        <family val="2"/>
      </rPr>
      <t>HESA T3d</t>
    </r>
    <r>
      <rPr>
        <sz val="11"/>
        <color theme="1"/>
        <rFont val="Arial"/>
        <family val="2"/>
      </rPr>
      <t xml:space="preserve"> - No longer in HE after 1 year (Young, full-time, other undergraduate entrants) </t>
    </r>
  </si>
  <si>
    <r>
      <rPr>
        <b/>
        <sz val="11"/>
        <color theme="1"/>
        <rFont val="Arial"/>
        <family val="2"/>
      </rPr>
      <t>HESA T3d</t>
    </r>
    <r>
      <rPr>
        <sz val="11"/>
        <color theme="1"/>
        <rFont val="Arial"/>
        <family val="2"/>
      </rPr>
      <t xml:space="preserve"> - No longer in HE after 1 year (Mature, full-time, other undergraduate entrants) </t>
    </r>
  </si>
  <si>
    <r>
      <rPr>
        <b/>
        <sz val="11"/>
        <color theme="1"/>
        <rFont val="Arial"/>
        <family val="2"/>
      </rPr>
      <t>HESA T3d</t>
    </r>
    <r>
      <rPr>
        <sz val="11"/>
        <color theme="1"/>
        <rFont val="Arial"/>
        <family val="2"/>
      </rPr>
      <t xml:space="preserve"> - No longer in HE after 1 year (All, full-time, other undergraduate entrants) </t>
    </r>
  </si>
  <si>
    <r>
      <rPr>
        <b/>
        <sz val="11"/>
        <color theme="1"/>
        <rFont val="Arial"/>
        <family val="2"/>
      </rPr>
      <t>HESA T3e</t>
    </r>
    <r>
      <rPr>
        <sz val="11"/>
        <color theme="1"/>
        <rFont val="Arial"/>
        <family val="2"/>
      </rPr>
      <t xml:space="preserve"> - No longer in HE after 2 years (aged 30 and under, part-time, first degree entrants)</t>
    </r>
  </si>
  <si>
    <r>
      <rPr>
        <b/>
        <sz val="11"/>
        <color theme="1"/>
        <rFont val="Arial"/>
        <family val="2"/>
      </rPr>
      <t>HESA T3e</t>
    </r>
    <r>
      <rPr>
        <sz val="11"/>
        <color theme="1"/>
        <rFont val="Arial"/>
        <family val="2"/>
      </rPr>
      <t xml:space="preserve"> - No longer in HE after 2 years (age over 30, part-time, first degree entrants)</t>
    </r>
  </si>
  <si>
    <r>
      <rPr>
        <b/>
        <sz val="11"/>
        <color theme="1"/>
        <rFont val="Arial"/>
        <family val="2"/>
      </rPr>
      <t>HESA T5</t>
    </r>
    <r>
      <rPr>
        <sz val="11"/>
        <color theme="1"/>
        <rFont val="Arial"/>
        <family val="2"/>
      </rPr>
      <t xml:space="preserve"> - Projected degree (full-time, first degree entrants)</t>
    </r>
  </si>
  <si>
    <r>
      <rPr>
        <b/>
        <sz val="11"/>
        <color theme="1"/>
        <rFont val="Arial"/>
        <family val="2"/>
      </rPr>
      <t>HESA T5</t>
    </r>
    <r>
      <rPr>
        <sz val="11"/>
        <color theme="1"/>
        <rFont val="Arial"/>
        <family val="2"/>
      </rPr>
      <t xml:space="preserve"> - Projected neither award or transfer (full-time, first degree entrants)</t>
    </r>
  </si>
  <si>
    <r>
      <rPr>
        <b/>
        <sz val="11"/>
        <color theme="1"/>
        <rFont val="Arial"/>
        <family val="2"/>
      </rPr>
      <t>HESA T5</t>
    </r>
    <r>
      <rPr>
        <sz val="11"/>
        <color theme="1"/>
        <rFont val="Arial"/>
        <family val="2"/>
      </rPr>
      <t xml:space="preserve"> - Projected other award (full-time, first degree entrants)</t>
    </r>
  </si>
  <si>
    <r>
      <rPr>
        <b/>
        <sz val="11"/>
        <color theme="1"/>
        <rFont val="Arial"/>
        <family val="2"/>
      </rPr>
      <t>HESA T5</t>
    </r>
    <r>
      <rPr>
        <sz val="11"/>
        <color theme="1"/>
        <rFont val="Arial"/>
        <family val="2"/>
      </rPr>
      <t xml:space="preserve"> - Projected transfer (full-time, first degree entrants)</t>
    </r>
  </si>
  <si>
    <r>
      <rPr>
        <b/>
        <sz val="11"/>
        <color theme="1"/>
        <rFont val="Arial"/>
        <family val="2"/>
      </rPr>
      <t>HESA T7</t>
    </r>
    <r>
      <rPr>
        <sz val="11"/>
        <color theme="1"/>
        <rFont val="Arial"/>
        <family val="2"/>
      </rPr>
      <t xml:space="preserve"> - Students in receipt of DSA (full-time, first degree entrants)</t>
    </r>
  </si>
  <si>
    <r>
      <rPr>
        <b/>
        <sz val="11"/>
        <color theme="1"/>
        <rFont val="Arial"/>
        <family val="2"/>
      </rPr>
      <t>HESA T7</t>
    </r>
    <r>
      <rPr>
        <sz val="11"/>
        <color theme="1"/>
        <rFont val="Arial"/>
        <family val="2"/>
      </rPr>
      <t xml:space="preserve"> - Students in receipt of DSA (full-time, all undergraduate entrants)</t>
    </r>
  </si>
  <si>
    <r>
      <rPr>
        <b/>
        <sz val="11"/>
        <color theme="1"/>
        <rFont val="Arial"/>
        <family val="2"/>
      </rPr>
      <t>HESA T7</t>
    </r>
    <r>
      <rPr>
        <sz val="11"/>
        <color theme="1"/>
        <rFont val="Arial"/>
        <family val="2"/>
      </rPr>
      <t xml:space="preserve"> - Students in receipt of DSA (part-time, all undergraduate entrants)</t>
    </r>
  </si>
  <si>
    <r>
      <rPr>
        <b/>
        <sz val="11"/>
        <color indexed="8"/>
        <rFont val="Arial"/>
        <family val="2"/>
      </rPr>
      <t>Other statistic</t>
    </r>
    <r>
      <rPr>
        <sz val="11"/>
        <color indexed="8"/>
        <rFont val="Arial"/>
        <family val="2"/>
      </rPr>
      <t xml:space="preserve"> - State School (please give details in the next column)</t>
    </r>
  </si>
  <si>
    <r>
      <rPr>
        <b/>
        <sz val="11"/>
        <color indexed="8"/>
        <rFont val="Arial"/>
        <family val="2"/>
      </rPr>
      <t>Other statistic</t>
    </r>
    <r>
      <rPr>
        <sz val="11"/>
        <color indexed="8"/>
        <rFont val="Arial"/>
        <family val="2"/>
      </rPr>
      <t xml:space="preserve"> - Socio-economic (please give details in the next column)</t>
    </r>
  </si>
  <si>
    <r>
      <rPr>
        <b/>
        <sz val="11"/>
        <color indexed="8"/>
        <rFont val="Arial"/>
        <family val="2"/>
      </rPr>
      <t>Other statistic</t>
    </r>
    <r>
      <rPr>
        <sz val="11"/>
        <color indexed="8"/>
        <rFont val="Arial"/>
        <family val="2"/>
      </rPr>
      <t xml:space="preserve"> - Location (please give details in the next column)</t>
    </r>
  </si>
  <si>
    <r>
      <rPr>
        <b/>
        <sz val="11"/>
        <color indexed="8"/>
        <rFont val="Arial"/>
        <family val="2"/>
      </rPr>
      <t>Other statistic</t>
    </r>
    <r>
      <rPr>
        <sz val="11"/>
        <color indexed="8"/>
        <rFont val="Arial"/>
        <family val="2"/>
      </rPr>
      <t xml:space="preserve"> - Completion/Non continuation (please give details in the next column)</t>
    </r>
  </si>
  <si>
    <r>
      <rPr>
        <b/>
        <sz val="11"/>
        <color indexed="8"/>
        <rFont val="Arial"/>
        <family val="2"/>
      </rPr>
      <t>Other statistic</t>
    </r>
    <r>
      <rPr>
        <sz val="11"/>
        <color indexed="8"/>
        <rFont val="Arial"/>
        <family val="2"/>
      </rPr>
      <t xml:space="preserve"> - Applications (please give details in the next column)</t>
    </r>
  </si>
  <si>
    <r>
      <rPr>
        <b/>
        <sz val="11"/>
        <color indexed="8"/>
        <rFont val="Arial"/>
        <family val="2"/>
      </rPr>
      <t>Other statistic</t>
    </r>
    <r>
      <rPr>
        <sz val="11"/>
        <color indexed="8"/>
        <rFont val="Arial"/>
        <family val="2"/>
      </rPr>
      <t xml:space="preserve"> - Care-leavers (please give details in the next column)</t>
    </r>
  </si>
  <si>
    <r>
      <rPr>
        <b/>
        <sz val="11"/>
        <color indexed="8"/>
        <rFont val="Arial"/>
        <family val="2"/>
      </rPr>
      <t>Other statistic</t>
    </r>
    <r>
      <rPr>
        <sz val="11"/>
        <color indexed="8"/>
        <rFont val="Arial"/>
        <family val="2"/>
      </rPr>
      <t xml:space="preserve"> - Disabled (please give details in the next column)</t>
    </r>
  </si>
  <si>
    <r>
      <rPr>
        <b/>
        <sz val="11"/>
        <color indexed="8"/>
        <rFont val="Arial"/>
        <family val="2"/>
      </rPr>
      <t>Other statistic</t>
    </r>
    <r>
      <rPr>
        <sz val="11"/>
        <color indexed="8"/>
        <rFont val="Arial"/>
        <family val="2"/>
      </rPr>
      <t xml:space="preserve"> - Ethnicity (please give details in the next column)</t>
    </r>
  </si>
  <si>
    <r>
      <rPr>
        <b/>
        <sz val="11"/>
        <color indexed="8"/>
        <rFont val="Arial"/>
        <family val="2"/>
      </rPr>
      <t>Other statistic</t>
    </r>
    <r>
      <rPr>
        <sz val="11"/>
        <color indexed="8"/>
        <rFont val="Arial"/>
        <family val="2"/>
      </rPr>
      <t xml:space="preserve"> - Gender (please give details in the next column)</t>
    </r>
  </si>
  <si>
    <r>
      <rPr>
        <b/>
        <sz val="11"/>
        <color indexed="8"/>
        <rFont val="Arial"/>
        <family val="2"/>
      </rPr>
      <t>Other statistic</t>
    </r>
    <r>
      <rPr>
        <sz val="11"/>
        <color indexed="8"/>
        <rFont val="Arial"/>
        <family val="2"/>
      </rPr>
      <t xml:space="preserve"> - Low-income backgrounds (please give details in the next column)</t>
    </r>
  </si>
  <si>
    <r>
      <rPr>
        <b/>
        <sz val="11"/>
        <color indexed="8"/>
        <rFont val="Arial"/>
        <family val="2"/>
      </rPr>
      <t>Other statistic</t>
    </r>
    <r>
      <rPr>
        <sz val="11"/>
        <color indexed="8"/>
        <rFont val="Arial"/>
        <family val="2"/>
      </rPr>
      <t xml:space="preserve"> - Mature (please give details in the next column)</t>
    </r>
  </si>
  <si>
    <r>
      <rPr>
        <b/>
        <sz val="11"/>
        <color indexed="8"/>
        <rFont val="Arial"/>
        <family val="2"/>
      </rPr>
      <t>Other statistic</t>
    </r>
    <r>
      <rPr>
        <sz val="11"/>
        <color indexed="8"/>
        <rFont val="Arial"/>
        <family val="2"/>
      </rPr>
      <t xml:space="preserve"> - Part-time (please give details in the next column)</t>
    </r>
  </si>
  <si>
    <r>
      <rPr>
        <b/>
        <sz val="11"/>
        <color indexed="8"/>
        <rFont val="Arial"/>
        <family val="2"/>
      </rPr>
      <t>Other statistic</t>
    </r>
    <r>
      <rPr>
        <sz val="11"/>
        <color indexed="8"/>
        <rFont val="Arial"/>
        <family val="2"/>
      </rPr>
      <t xml:space="preserve"> - Progression to employment or further study (please give details in the next column)</t>
    </r>
  </si>
  <si>
    <r>
      <rPr>
        <b/>
        <sz val="11"/>
        <color indexed="8"/>
        <rFont val="Arial"/>
        <family val="2"/>
      </rPr>
      <t>Other statistic</t>
    </r>
    <r>
      <rPr>
        <sz val="11"/>
        <color indexed="8"/>
        <rFont val="Arial"/>
        <family val="2"/>
      </rPr>
      <t xml:space="preserve"> - Postgraduate (please give details in the next column)</t>
    </r>
  </si>
  <si>
    <r>
      <rPr>
        <b/>
        <sz val="11"/>
        <color indexed="8"/>
        <rFont val="Arial"/>
        <family val="2"/>
      </rPr>
      <t>Other statistic</t>
    </r>
    <r>
      <rPr>
        <sz val="11"/>
        <color indexed="8"/>
        <rFont val="Arial"/>
        <family val="2"/>
      </rPr>
      <t xml:space="preserve"> - Other (please give details in the next column)</t>
    </r>
  </si>
  <si>
    <t>ay2223</t>
  </si>
  <si>
    <t>2. Part-time, above the basic fee student numbers should be less than or equal to all part-time student numbers.</t>
  </si>
  <si>
    <t>Please select the course type from the drop-down list.</t>
  </si>
  <si>
    <t>Does this fee apply to 2019-20 entrants?</t>
  </si>
  <si>
    <t xml:space="preserve">Does this fee apply to 2019-20 entrants? </t>
  </si>
  <si>
    <t>YES</t>
  </si>
  <si>
    <t xml:space="preserve">Has the coursetype been listed? </t>
  </si>
  <si>
    <t>has the course type been listed?</t>
  </si>
  <si>
    <t>FT FEE LIST</t>
  </si>
  <si>
    <t>Validating partner (unique)</t>
  </si>
  <si>
    <t>19-20entrants</t>
  </si>
  <si>
    <t>ATTRA</t>
  </si>
  <si>
    <t>school</t>
  </si>
  <si>
    <t>schooltype</t>
  </si>
  <si>
    <t>sponsortype</t>
  </si>
  <si>
    <t>phase</t>
  </si>
  <si>
    <t>trust</t>
  </si>
  <si>
    <t>has a valid reference number</t>
  </si>
  <si>
    <t>Name of academy, free school, UTC or studio school</t>
  </si>
  <si>
    <t>School type</t>
  </si>
  <si>
    <t>Sponsor type</t>
  </si>
  <si>
    <t>Trust name</t>
  </si>
  <si>
    <t>Additional commentary</t>
  </si>
  <si>
    <t>8a</t>
  </si>
  <si>
    <t>opened</t>
  </si>
  <si>
    <t>Reference number 
(e.g. Edubase URN)</t>
  </si>
  <si>
    <t>Proposed opening date (DD/MM/YYYY)</t>
  </si>
  <si>
    <t>8b</t>
  </si>
  <si>
    <t>Refer</t>
  </si>
  <si>
    <r>
      <t xml:space="preserve"> Table 1a </t>
    </r>
    <r>
      <rPr>
        <sz val="14"/>
        <rFont val="Arial"/>
        <family val="2"/>
      </rPr>
      <t>- Full-time courses: fee limits and student numbers, 2019-20 to 2022-23</t>
    </r>
  </si>
  <si>
    <t xml:space="preserve">For information on how to complete this table see page ## of our resource plan guidance. </t>
  </si>
  <si>
    <t xml:space="preserve">Where you charge a range of fees for the same course type, please provide more information e.g. subject or faculty groupings. </t>
  </si>
  <si>
    <t>2. There must be at least one course in the table.</t>
  </si>
  <si>
    <t xml:space="preserve">For information on how to complete this table please see page ## of our resource plan guidance. </t>
  </si>
  <si>
    <t>Where you charge a range of fees for the same course type, please provide more information e.g. subject or faculty groupings.</t>
  </si>
  <si>
    <t>FULL_TEF_</t>
  </si>
  <si>
    <t>SAND_TEF_</t>
  </si>
  <si>
    <t>LOWER_TEF_</t>
  </si>
  <si>
    <t>PART_TEF_</t>
  </si>
  <si>
    <r>
      <t xml:space="preserve">Table 2 </t>
    </r>
    <r>
      <rPr>
        <sz val="14"/>
        <rFont val="Arial"/>
        <family val="2"/>
      </rPr>
      <t>- Part-time courses: fee levels for students in 2019-20</t>
    </r>
  </si>
  <si>
    <t>Accelerated degree</t>
  </si>
  <si>
    <t>Accelerated Degree</t>
  </si>
  <si>
    <r>
      <t xml:space="preserve">Table 4 </t>
    </r>
    <r>
      <rPr>
        <sz val="14"/>
        <rFont val="Arial"/>
        <family val="2"/>
      </rPr>
      <t>- Summary of student numbers and higher fee income</t>
    </r>
  </si>
  <si>
    <t xml:space="preserve">amount of total which is APP countable </t>
  </si>
  <si>
    <r>
      <rPr>
        <b/>
        <i/>
        <sz val="12"/>
        <color indexed="8"/>
        <rFont val="Arial"/>
        <family val="2"/>
      </rPr>
      <t xml:space="preserve">Table 7c </t>
    </r>
    <r>
      <rPr>
        <sz val="12"/>
        <color indexed="8"/>
        <rFont val="Arial"/>
        <family val="2"/>
      </rPr>
      <t>- Full-time fee levels (£)</t>
    </r>
  </si>
  <si>
    <t>For information on this table see page ## of our resource plan guidance.</t>
  </si>
  <si>
    <t xml:space="preserve">For information on this table see page ## of our resourse plan guidance. </t>
  </si>
  <si>
    <r>
      <t xml:space="preserve"> Table 8 </t>
    </r>
    <r>
      <rPr>
        <sz val="14"/>
        <rFont val="Arial"/>
        <family val="2"/>
      </rPr>
      <t>- Targets and milestones</t>
    </r>
  </si>
  <si>
    <r>
      <rPr>
        <b/>
        <i/>
        <sz val="12"/>
        <rFont val="Arial"/>
        <family val="2"/>
      </rPr>
      <t>Table 8a</t>
    </r>
    <r>
      <rPr>
        <sz val="12"/>
        <rFont val="Arial"/>
        <family val="2"/>
      </rPr>
      <t xml:space="preserve"> - Statistical targets and milestones relating to your applicants, entrants or student body</t>
    </r>
  </si>
  <si>
    <t>2. All mandatory cells within a row in Table 8b must be complete -  rows must have a reference number, lifecycle stage, target type, they must be classified as collaborative or not, and they must have a baseline year, baseline data, and yearly milestones entered.</t>
  </si>
  <si>
    <r>
      <rPr>
        <b/>
        <i/>
        <sz val="12"/>
        <rFont val="Arial"/>
        <family val="2"/>
      </rPr>
      <t>Table 8b</t>
    </r>
    <r>
      <rPr>
        <sz val="12"/>
        <rFont val="Arial"/>
        <family val="2"/>
      </rPr>
      <t xml:space="preserve"> - Other milestones and targets.</t>
    </r>
  </si>
  <si>
    <r>
      <t xml:space="preserve">Table 9 </t>
    </r>
    <r>
      <rPr>
        <sz val="14"/>
        <rFont val="Arial"/>
        <family val="2"/>
      </rPr>
      <t>- Sponsorship Arrangements</t>
    </r>
  </si>
  <si>
    <t>For information on how to complete this table see page ## of our resource plan guidance.</t>
  </si>
  <si>
    <r>
      <t>Table 9b</t>
    </r>
    <r>
      <rPr>
        <i/>
        <sz val="12"/>
        <color indexed="8"/>
        <rFont val="Arial"/>
        <family val="2"/>
      </rPr>
      <t xml:space="preserve"> - With which academies, free schools, UTCs and studio schools does your higher education provider plan to establish a formal sponsorship arrangement in the future? (please do not include any schools recorded in Table 9a)</t>
    </r>
  </si>
  <si>
    <r>
      <t>Table 9c</t>
    </r>
    <r>
      <rPr>
        <i/>
        <sz val="12"/>
        <color indexed="8"/>
        <rFont val="Arial"/>
        <family val="2"/>
      </rPr>
      <t xml:space="preserve"> - Additional commentary on future aspirations for sponsorship arrangements (please do not include any schools recorded in Table 9a or 9b)</t>
    </r>
  </si>
  <si>
    <t xml:space="preserve"> Edubase Unique Reference Number (URN)</t>
  </si>
  <si>
    <t xml:space="preserve"> Table 1a - Full-time courses: fee limits and student numbers, 2019-20 to 2022-23</t>
  </si>
  <si>
    <t xml:space="preserve"> Table 1b - Full-time (franchised) courses: fee levels and student numbers, 2019-20 to 2022-23</t>
  </si>
  <si>
    <t>Table 2 - Part-time courses: fee levels for students in 2019-20</t>
  </si>
  <si>
    <t>Table 4 - Summary of student numbers and higher fee income</t>
  </si>
  <si>
    <t>VAL</t>
  </si>
  <si>
    <t>isinvalid</t>
  </si>
  <si>
    <t>valtab</t>
  </si>
  <si>
    <t>valnumber</t>
  </si>
  <si>
    <t>CN</t>
  </si>
  <si>
    <t>AS</t>
  </si>
  <si>
    <t>1. Table 6a must be completed.</t>
  </si>
  <si>
    <t xml:space="preserve"> Table 8 - Targets and milestones</t>
  </si>
  <si>
    <t>addinfo</t>
  </si>
  <si>
    <t>coursefee</t>
  </si>
  <si>
    <t>6b</t>
  </si>
  <si>
    <t>6c</t>
  </si>
  <si>
    <t>8c</t>
  </si>
  <si>
    <t>9a</t>
  </si>
  <si>
    <t>9b</t>
  </si>
  <si>
    <t>9c</t>
  </si>
  <si>
    <t>5. Courses must not exceed the higher fee cap for the particular system/course type selected.</t>
  </si>
  <si>
    <t>3. Courses must not exceed the higher fee cap for the particular system/course type selected.</t>
  </si>
  <si>
    <t>3. Courses must not exceed the higher fee cap for the particular course type selected.</t>
  </si>
  <si>
    <t xml:space="preserve">Validation </t>
  </si>
  <si>
    <t>Table 3 - 2019-20 Fee summary table</t>
  </si>
  <si>
    <r>
      <rPr>
        <b/>
        <i/>
        <sz val="12"/>
        <color indexed="8"/>
        <rFont val="Arial"/>
        <family val="2"/>
      </rPr>
      <t>Table 4a</t>
    </r>
    <r>
      <rPr>
        <sz val="12"/>
        <color indexed="8"/>
        <rFont val="Arial"/>
        <family val="2"/>
      </rPr>
      <t xml:space="preserve"> - Total number of students</t>
    </r>
  </si>
  <si>
    <r>
      <rPr>
        <b/>
        <i/>
        <sz val="12"/>
        <color indexed="8"/>
        <rFont val="Arial"/>
        <family val="2"/>
      </rPr>
      <t>Table 4b</t>
    </r>
    <r>
      <rPr>
        <sz val="12"/>
        <color indexed="8"/>
        <rFont val="Arial"/>
        <family val="2"/>
      </rPr>
      <t xml:space="preserve"> - Fee income above the basic fee 
(or higher fee income (HFI)) (£)</t>
    </r>
  </si>
  <si>
    <t>Validating partner without blanks</t>
  </si>
  <si>
    <t>Inflation</t>
  </si>
  <si>
    <t>4c</t>
  </si>
  <si>
    <t>3b</t>
  </si>
  <si>
    <r>
      <t xml:space="preserve">Access and participation plan 2019-20 resource plan 
</t>
    </r>
    <r>
      <rPr>
        <sz val="14"/>
        <rFont val="Arial"/>
        <family val="2"/>
      </rPr>
      <t>Contact Information</t>
    </r>
  </si>
  <si>
    <t>The OfS requests that each institution nominates two people to take the lead in the completion of the access and participation plan. We expect these individuals to read this section explaining why we need contact details, how these contact details will be used and how to complete the contact details section, including the question on sharing contact details with external researchers.
We require the names and contact information of the two individuals to refer to the people who are taking the lead on the completion of the access and participation plan and in order to contact them to discuss the information provided. Additionally, we may contact these individuals periodically throughout the year to discuss aspects of the access and participation plan process, for example, to seek feedback for improving engagement with institutions. We will protect your contact details and not share them outside the OfS, unless you give consent to do so.</t>
  </si>
  <si>
    <t xml:space="preserve">The OfS supports the development of robust evidence that supports effective practice. We may be contacted by academics and organisations conducting research into widening participation, who are interested in contacting practitioners and heads of WP to contribute to their work. 
We will share your contact details only where you have given consent to share.  We will seek assurances from the organisation that they will use your information only for the purpose of conducting research into widening participation and delete it when it is no longer required.
We will not share your contact details with organisations seeking to contact you for marketing or other commercial purposes.
Please select ‘Yes’ from the dropdown menu below if you are happy for us to share your contact details for research purposes.
We will not share your contact details with organisations seeking to contact you for marketing or other commercial purposes.
Please select ‘Yes’ from the dropdown menu below if you are happy for us to share your contact details for research purposes. </t>
  </si>
  <si>
    <t>We will not have a TEF award for 2019-20.</t>
  </si>
  <si>
    <t>Sandwich year</t>
  </si>
  <si>
    <t>Please enter inflationary statement in the free text box below.</t>
  </si>
  <si>
    <t>Full-time course type:</t>
  </si>
  <si>
    <t>Franchise full-time course type:</t>
  </si>
  <si>
    <t>Part-time course type:</t>
  </si>
  <si>
    <t>Additional information:</t>
  </si>
  <si>
    <t>Course fee:</t>
  </si>
  <si>
    <t>1. All mandatory cells within a row in Table 9a must be complete -  rows must have a reference number, name of school, type of relationship, phase and name of trust</t>
  </si>
  <si>
    <t>2. All mandatory cells within a row in Table 9b must be complete -  rows must have a reference number, name of school, type of relationship, phase, name of trust and expected year of school opening</t>
  </si>
  <si>
    <t>Table 9 - Sponsorship arrangements</t>
  </si>
  <si>
    <t>Please complete and return this resource plan, along with your access agreement document, by ## April 2018.
Please do not copy and paste cells within this workbook as this can corrupt and overwrite the validation checks. You can, however, copy and paste into the white formula bar box (which can be found just below the command ribbon at the top of the Excel window).
The information you provide in Table 3 (Fee summary) and Table 8 (Milestones and targets) will be published as part of your access and participation plan. A summary of your financial information will be published by the OfS in an outcomes report.
Detailed guidance for help with completing this resource plan can be found in the resource plan guidance document.</t>
  </si>
  <si>
    <t>4. There must be at least one course fee that applies to 2019-20 entrants ("Yes" in column H).</t>
  </si>
  <si>
    <t>2. If there are courses listed, there should be at least one course fee that applies to 2019-20 entrants ("Yes" in column I).</t>
  </si>
  <si>
    <t>2. If there are courses listed, there should be at least one course fee that applies to 2019-20 entrants ("Yes" in column E).</t>
  </si>
  <si>
    <t>Is max fee below minimum cap?</t>
  </si>
  <si>
    <t>Students above the basic fee 2019-20</t>
  </si>
  <si>
    <t>Students above the basic fee 20-21</t>
  </si>
  <si>
    <t>Students above the basic fee 2021-22</t>
  </si>
  <si>
    <t>Students above the basic fee 2022-23</t>
  </si>
  <si>
    <t>Students above the basic fee 2020-21</t>
  </si>
  <si>
    <t>Total investment on access</t>
  </si>
  <si>
    <t>Total investment on progression</t>
  </si>
  <si>
    <t>Total activity investment</t>
  </si>
  <si>
    <t>Table 5b –  Postgraduate investment forecasts (£)</t>
  </si>
  <si>
    <t>Table 6 - Financial support investment forecasts</t>
  </si>
  <si>
    <t>Table 6a - Financial support investment (£)</t>
  </si>
  <si>
    <t>Table 6b –  Postgraduate investment forecasts - financial support (£)</t>
  </si>
  <si>
    <t>Commentary on predicted financial support investment
This includes any assumptions you have made where you are providing students with a choice of financial support (if required).
This box is limited to 500 words; however, we are happy for you to upload additional ‘supporting information’ as a separate Word/pdf document.</t>
  </si>
  <si>
    <t>Access investment</t>
  </si>
  <si>
    <t>Progression investment</t>
  </si>
  <si>
    <t>Total investment</t>
  </si>
  <si>
    <t>Access investment (as % HFI)</t>
  </si>
  <si>
    <t>Progression investment (as % HFI)</t>
  </si>
  <si>
    <t>Total investment (as % HFI)</t>
  </si>
  <si>
    <t>In submitting your access and participation plan you are confirming that all the information you have provided has been compiled in accordance with our guidance, that it has been subject to an independent internal validation process, and has been signed off and approved as correct.</t>
  </si>
  <si>
    <t>Senior manager responsible for assuring the access and participation plan</t>
  </si>
  <si>
    <t>We hold or have applied for a TEF award for 2019-20.</t>
  </si>
  <si>
    <t>1. Please select an option in cell D5 for whether or not you will, or intend to, participate in TEF in 2019-20.</t>
  </si>
  <si>
    <t>Total predicted number of qualifying students in each academic year</t>
  </si>
  <si>
    <t xml:space="preserve">Expected TEF year 3 status: </t>
  </si>
  <si>
    <r>
      <t xml:space="preserve"> Table 1b </t>
    </r>
    <r>
      <rPr>
        <sz val="14"/>
        <rFont val="Arial"/>
        <family val="2"/>
      </rPr>
      <t>- Full-time sub-contracted (franchised) courses: fee levels and student numbers, 2019-20 to 2022-23</t>
    </r>
  </si>
  <si>
    <r>
      <rPr>
        <b/>
        <i/>
        <sz val="12"/>
        <color indexed="8"/>
        <rFont val="Arial"/>
        <family val="2"/>
      </rPr>
      <t xml:space="preserve">Table 1b </t>
    </r>
    <r>
      <rPr>
        <i/>
        <sz val="12"/>
        <color indexed="8"/>
        <rFont val="Arial"/>
        <family val="2"/>
      </rPr>
      <t>- Full-time sub-contracted (franchised) courses: fee levels and student numbers.</t>
    </r>
  </si>
  <si>
    <r>
      <t xml:space="preserve">Table 3 - </t>
    </r>
    <r>
      <rPr>
        <sz val="14"/>
        <rFont val="Arial"/>
        <family val="2"/>
      </rPr>
      <t>Summary of full-time and part-time course fee levels for 2019-20 entrants</t>
    </r>
  </si>
  <si>
    <t>Full-time and part-time course fee levels for 2019-20 entrants.</t>
  </si>
  <si>
    <t xml:space="preserve">* course type not listed. </t>
  </si>
  <si>
    <t>*</t>
  </si>
  <si>
    <t xml:space="preserve">1. Please enter statement on increasing your fees by inflation for 2019-20 entrants in subsequent years of study in cell B13. </t>
  </si>
  <si>
    <t>1. If you record part-time student numbers above the basic fee in Table 4a, you must have higher fee income from part-time students in Table 4b, and vice versa.</t>
  </si>
  <si>
    <t>Total access, success &amp; progression investment</t>
  </si>
  <si>
    <t>Total investment on success</t>
  </si>
  <si>
    <t>Table 5a –  Access, success &amp; progression investment forecasts (£)</t>
  </si>
  <si>
    <t>Table 5 - Access, success and progression investment forecasts</t>
  </si>
  <si>
    <t>2. Countable spend on access, success and progression should not exceed the total investment for access, success and progression respectively.</t>
  </si>
  <si>
    <t>Success investment (as % HFI)</t>
  </si>
  <si>
    <t>Success investment</t>
  </si>
  <si>
    <t>Success</t>
  </si>
  <si>
    <t>Alongside applicant and entrant targets, we encourage you to provide targets around outreach and success work (including collaborative work where appropriate) or other initiatives to illustrate your progress towards increasing access, success and progression. These should be measurable outcomes‐based targets and should focus on the number of beneficiaries reached by a particular activity/programme or the number of schools worked with, and what the outcomes were, rather than simply recording the nature/number of activities.</t>
  </si>
  <si>
    <t>If cells changed, have all years been populated?</t>
  </si>
  <si>
    <t>Investment in financial support</t>
  </si>
  <si>
    <t>Investment in financial support (as % HFI)</t>
  </si>
  <si>
    <r>
      <rPr>
        <b/>
        <sz val="10"/>
        <color indexed="8"/>
        <rFont val="Arial"/>
        <family val="2"/>
      </rPr>
      <t xml:space="preserve">Access </t>
    </r>
    <r>
      <rPr>
        <sz val="10"/>
        <color indexed="8"/>
        <rFont val="Arial"/>
        <family val="2"/>
      </rPr>
      <t xml:space="preserve">
investment forecasts</t>
    </r>
  </si>
  <si>
    <r>
      <rPr>
        <b/>
        <sz val="10"/>
        <color indexed="8"/>
        <rFont val="Arial"/>
        <family val="2"/>
      </rPr>
      <t>Success</t>
    </r>
    <r>
      <rPr>
        <sz val="10"/>
        <color indexed="8"/>
        <rFont val="Arial"/>
        <family val="2"/>
      </rPr>
      <t xml:space="preserve">
investment forecasts</t>
    </r>
  </si>
  <si>
    <r>
      <rPr>
        <b/>
        <sz val="10"/>
        <color indexed="8"/>
        <rFont val="Arial"/>
        <family val="2"/>
      </rPr>
      <t xml:space="preserve">Progression </t>
    </r>
    <r>
      <rPr>
        <sz val="10"/>
        <color indexed="8"/>
        <rFont val="Arial"/>
        <family val="2"/>
      </rPr>
      <t xml:space="preserve">
investment forecasts</t>
    </r>
  </si>
  <si>
    <t>1. Table 5a must be completed.</t>
  </si>
  <si>
    <t>Total investment in postgraduate students</t>
  </si>
  <si>
    <t>Table 7a - Access and participation plan investment summary (£)</t>
  </si>
  <si>
    <t>Table 7b - Access and participation plan investment summary as a proportion of higher fee income (HFI) (%)</t>
  </si>
  <si>
    <t>TEFyr3</t>
  </si>
  <si>
    <t>Tab</t>
  </si>
  <si>
    <t>ACCEL_No_TEF_</t>
  </si>
  <si>
    <t>ACCEL_TEF_</t>
  </si>
  <si>
    <r>
      <t>Table 9a</t>
    </r>
    <r>
      <rPr>
        <i/>
        <sz val="12"/>
        <color indexed="8"/>
        <rFont val="Arial"/>
        <family val="2"/>
      </rPr>
      <t xml:space="preserve"> - With which academies, free schools, UTCs and studio schools does your higher education provider have a formal sponsorship arrangement, as of 30 April 2018?</t>
    </r>
  </si>
  <si>
    <r>
      <t xml:space="preserve">Table 7 </t>
    </r>
    <r>
      <rPr>
        <sz val="14"/>
        <rFont val="Arial"/>
        <family val="2"/>
      </rPr>
      <t>- Investment summary</t>
    </r>
  </si>
  <si>
    <r>
      <t xml:space="preserve">Table 6 - </t>
    </r>
    <r>
      <rPr>
        <sz val="14"/>
        <rFont val="Arial"/>
        <family val="2"/>
      </rPr>
      <t>Financial support investment forecasts</t>
    </r>
  </si>
  <si>
    <r>
      <t xml:space="preserve">Table 5 </t>
    </r>
    <r>
      <rPr>
        <sz val="14"/>
        <rFont val="Arial"/>
        <family val="2"/>
      </rPr>
      <t>-</t>
    </r>
    <r>
      <rPr>
        <b/>
        <sz val="14"/>
        <rFont val="Arial"/>
        <family val="2"/>
      </rPr>
      <t xml:space="preserve"> </t>
    </r>
    <r>
      <rPr>
        <sz val="14"/>
        <rFont val="Arial"/>
        <family val="2"/>
      </rPr>
      <t>Access, success and progression investment forecasts</t>
    </r>
  </si>
  <si>
    <t>3. All mandatory cells within a row must be complete - rows must have course type selected, at least one student recorded, 2019-20 entrants field completed (column H) and a course fee.</t>
  </si>
  <si>
    <t>1. All mandatory cells within a row must be complete - rows must have course type selected, franchise institution entered, at least one student recorded, 2019-20 entrants field  completed (column I) and a course fee.</t>
  </si>
  <si>
    <t>1. All mandatory cells within a row must be complete - rows must have course type selected, the full-time equivalent course fee, 2019-20 entrants field completed (column E) and maximum fee completed.</t>
  </si>
  <si>
    <t>Students from other underrepresented groups</t>
  </si>
  <si>
    <t>Investment of activities to support those from underrepresented groups into postgraduate study</t>
  </si>
  <si>
    <t>1. All mandatory cells within a row in Table 8a must be complete -  rows must have a reference number, lifecycle stage, target type, they must be classified as collaborative or not, they must have a baseline year and baseline data entered, and they must contain milestones up to and including 2019-20.</t>
  </si>
  <si>
    <t>PASSED</t>
  </si>
  <si>
    <t>Institution UKPRN: 10001919</t>
  </si>
  <si>
    <t>Institution name: Derby College</t>
  </si>
  <si>
    <t>Other/Multiple stages</t>
  </si>
  <si>
    <t>Identifying individuals from Polar 3 areas and encouring progression</t>
  </si>
  <si>
    <t/>
  </si>
  <si>
    <t>Owing to recruitment challenges we have had to revise down the targets here.  However, it remains part of our strategy</t>
  </si>
  <si>
    <t>Increase part time participation</t>
  </si>
  <si>
    <t>These numbers are FTE</t>
  </si>
  <si>
    <t>Higher apprentice progression to top-up programmes</t>
  </si>
  <si>
    <t>Identifying adults from Polar 3 areas and encouraging progression</t>
  </si>
  <si>
    <t>We are just gathering baseline data for this at the minute.  We have joine EMWREP to ensure that we are properly gathering and recoridng the data and tracking students.  These numbers are FTE</t>
  </si>
  <si>
    <t>Improve student success from students (young and mature) from LPN areas</t>
  </si>
  <si>
    <t>This number is expressed as a percentage</t>
  </si>
  <si>
    <t>we will run events with secondary schools aimed at promoting College HE and other HE options to young people where participation is low</t>
  </si>
  <si>
    <t>We have begun to develop resource to support this and will continue to do so as income for WP and Access increases</t>
  </si>
  <si>
    <t>Robin Webber - Jones</t>
  </si>
  <si>
    <t>Director of Higher Education</t>
  </si>
  <si>
    <t>07894814675</t>
  </si>
  <si>
    <t>Robin.Webber-Jones@Derby-College.ac.uk</t>
  </si>
  <si>
    <t>Richard Bell</t>
  </si>
  <si>
    <t xml:space="preserve">HE and Higher Level Skills Manager </t>
  </si>
  <si>
    <t>01332 387400</t>
  </si>
  <si>
    <t>Richard.Bell@Derby-College.ac.uk</t>
  </si>
  <si>
    <t xml:space="preserve">We will be charging a higher fee rate for STEM subjects </t>
  </si>
  <si>
    <t>We will be charging a higher fee rate for STEM subjects</t>
  </si>
  <si>
    <t xml:space="preserve">We intend on using the inflationary increase for full time programmes only.  We will use RPI as the measure for the increase.  We will use half of this higher fee to to pay for curriculum development in STEM subjects to ensure that under-represented groups can better access the curriculum and that the curriculum is relevant.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</si>
</sst>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 ###\ ##0"/>
    <numFmt numFmtId="165" formatCode="#,##0.0"/>
    <numFmt numFmtId="166" formatCode="dd/mm/yy;@"/>
    <numFmt numFmtId="167" formatCode="&quot;£&quot;#,##0"/>
  </numFmts>
  <fonts count="49" x14ac:knownFonts="1">
    <font>
      <sz val="11"/>
      <color theme="1"/>
      <name val="Calibri"/>
      <family val="2"/>
      <scheme val="minor"/>
    </font>
    <font>
      <sz val="10"/>
      <color indexed="8"/>
      <name val="Arial"/>
      <family val="2"/>
    </font>
    <font>
      <sz val="10"/>
      <color theme="0" tint="-0.14999847407452621"/>
      <name val="Arial"/>
      <family val="2"/>
    </font>
    <font>
      <sz val="10"/>
      <name val="Arial"/>
      <family val="2"/>
    </font>
    <font>
      <sz val="11"/>
      <color indexed="8"/>
      <name val="Arial"/>
      <family val="2"/>
    </font>
    <font>
      <sz val="11"/>
      <name val="Arial"/>
      <family val="2"/>
    </font>
    <font>
      <b/>
      <sz val="10"/>
      <color indexed="8"/>
      <name val="Arial"/>
      <family val="2"/>
    </font>
    <font>
      <i/>
      <sz val="12"/>
      <color indexed="8"/>
      <name val="Arial"/>
      <family val="2"/>
    </font>
    <font>
      <b/>
      <i/>
      <sz val="12"/>
      <color indexed="8"/>
      <name val="Arial"/>
      <family val="2"/>
    </font>
    <font>
      <sz val="10"/>
      <color indexed="10"/>
      <name val="Arial"/>
      <family val="2"/>
    </font>
    <font>
      <b/>
      <sz val="11"/>
      <color theme="1"/>
      <name val="Calibri"/>
      <family val="2"/>
      <scheme val="minor"/>
    </font>
    <font>
      <b/>
      <sz val="14"/>
      <name val="Arial"/>
      <family val="2"/>
    </font>
    <font>
      <sz val="14"/>
      <name val="Arial"/>
      <family val="2"/>
    </font>
    <font>
      <sz val="10"/>
      <name val="Calibri"/>
      <family val="2"/>
    </font>
    <font>
      <b/>
      <sz val="10"/>
      <name val="Arial"/>
      <family val="2"/>
    </font>
    <font>
      <b/>
      <sz val="11"/>
      <name val="Arial"/>
      <family val="2"/>
    </font>
    <font>
      <u/>
      <sz val="8.5"/>
      <color theme="10"/>
      <name val="Calibri"/>
      <family val="2"/>
    </font>
    <font>
      <sz val="10"/>
      <color rgb="FFFF0000"/>
      <name val="Arial"/>
      <family val="2"/>
    </font>
    <font>
      <sz val="11"/>
      <color rgb="FFFF0000"/>
      <name val="Arial"/>
      <family val="2"/>
    </font>
    <font>
      <b/>
      <sz val="10"/>
      <color rgb="FFFF0000"/>
      <name val="Arial"/>
      <family val="2"/>
    </font>
    <font>
      <b/>
      <sz val="11"/>
      <color indexed="8"/>
      <name val="Arial"/>
      <family val="2"/>
    </font>
    <font>
      <sz val="12"/>
      <color indexed="8"/>
      <name val="Arial"/>
      <family val="2"/>
    </font>
    <font>
      <i/>
      <sz val="10"/>
      <color indexed="8"/>
      <name val="Arial"/>
      <family val="2"/>
    </font>
    <font>
      <b/>
      <i/>
      <sz val="10"/>
      <color indexed="8"/>
      <name val="Arial"/>
      <family val="2"/>
    </font>
    <font>
      <b/>
      <sz val="12"/>
      <color indexed="8"/>
      <name val="Arial"/>
      <family val="2"/>
    </font>
    <font>
      <sz val="10"/>
      <color rgb="FF000000"/>
      <name val="Arial"/>
      <family val="2"/>
    </font>
    <font>
      <sz val="12"/>
      <name val="Arial"/>
      <family val="2"/>
    </font>
    <font>
      <b/>
      <i/>
      <sz val="12"/>
      <name val="Arial"/>
      <family val="2"/>
    </font>
    <font>
      <sz val="11"/>
      <color theme="1"/>
      <name val="Arial"/>
      <family val="2"/>
    </font>
    <font>
      <b/>
      <sz val="12"/>
      <name val="Arial"/>
      <family val="2"/>
    </font>
    <font>
      <b/>
      <sz val="11"/>
      <color rgb="FFFF0000"/>
      <name val="Arial"/>
      <family val="2"/>
    </font>
    <font>
      <sz val="10"/>
      <color indexed="9"/>
      <name val="Arial"/>
      <family val="2"/>
    </font>
    <font>
      <b/>
      <sz val="18"/>
      <name val="Arial"/>
      <family val="2"/>
    </font>
    <font>
      <sz val="10"/>
      <color theme="1"/>
      <name val="Arial"/>
      <family val="2"/>
    </font>
    <font>
      <b/>
      <sz val="14"/>
      <color theme="1"/>
      <name val="Calibri"/>
      <family val="2"/>
    </font>
    <font>
      <b/>
      <u/>
      <sz val="11"/>
      <color indexed="8"/>
      <name val="Arial"/>
      <family val="2"/>
    </font>
    <font>
      <b/>
      <sz val="10"/>
      <color theme="1"/>
      <name val="Calibri"/>
      <family val="2"/>
    </font>
    <font>
      <b/>
      <sz val="16"/>
      <color theme="1"/>
      <name val="Calibri"/>
      <family val="2"/>
    </font>
    <font>
      <b/>
      <sz val="12"/>
      <color theme="1"/>
      <name val="Calibri"/>
      <family val="2"/>
    </font>
    <font>
      <b/>
      <sz val="10"/>
      <color theme="1"/>
      <name val="Arial"/>
      <family val="2"/>
    </font>
    <font>
      <b/>
      <sz val="12"/>
      <color theme="1"/>
      <name val="Arial"/>
      <family val="2"/>
    </font>
    <font>
      <i/>
      <sz val="10"/>
      <color theme="1"/>
      <name val="Arial"/>
      <family val="2"/>
    </font>
    <font>
      <b/>
      <sz val="11"/>
      <color theme="1"/>
      <name val="Arial"/>
      <family val="2"/>
    </font>
    <font>
      <i/>
      <sz val="10"/>
      <color rgb="FF000000"/>
      <name val="Arial"/>
      <family val="2"/>
    </font>
    <font>
      <sz val="11"/>
      <color rgb="FF000000"/>
      <name val="Arial"/>
      <family val="2"/>
    </font>
    <font>
      <sz val="12"/>
      <color rgb="FF0A0101"/>
      <name val="Arial"/>
      <family val="2"/>
    </font>
    <font>
      <sz val="10"/>
      <color theme="1"/>
      <name val="Calibri"/>
      <family val="2"/>
    </font>
    <font>
      <sz val="14"/>
      <color rgb="FF222222"/>
      <name val="Courier New"/>
      <family val="3"/>
    </font>
    <font>
      <sz val="14"/>
      <color rgb="FF333333"/>
      <name val="Arial"/>
      <family val="2"/>
    </font>
  </fonts>
  <fills count="24">
    <fill>
      <patternFill patternType="none"/>
    </fill>
    <fill>
      <patternFill patternType="gray125"/>
    </fill>
    <fill>
      <patternFill patternType="solid">
        <fgColor rgb="FF8DB4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E8EBFC"/>
        <bgColor indexed="64"/>
      </patternFill>
    </fill>
    <fill>
      <patternFill patternType="solid">
        <fgColor rgb="FFFFFFCC"/>
        <bgColor indexed="64"/>
      </patternFill>
    </fill>
    <fill>
      <patternFill patternType="solid">
        <fgColor theme="0"/>
        <bgColor indexed="64"/>
      </patternFill>
    </fill>
    <fill>
      <patternFill patternType="solid">
        <fgColor theme="9" tint="0.79998168889431442"/>
        <bgColor indexed="64"/>
      </patternFill>
    </fill>
    <fill>
      <patternFill patternType="solid">
        <fgColor theme="3" tint="0.59999389629810485"/>
        <bgColor indexed="64"/>
      </patternFill>
    </fill>
    <fill>
      <patternFill patternType="solid">
        <fgColor theme="0" tint="-4.9989318521683403E-2"/>
        <bgColor indexed="64"/>
      </patternFill>
    </fill>
    <fill>
      <patternFill patternType="solid">
        <fgColor indexed="9"/>
        <bgColor indexed="64"/>
      </patternFill>
    </fill>
    <fill>
      <patternFill patternType="solid">
        <fgColor rgb="FFD9D9D9"/>
        <bgColor indexed="64"/>
      </patternFill>
    </fill>
    <fill>
      <patternFill patternType="solid">
        <fgColor rgb="FFF2F2F2"/>
        <bgColor indexed="64"/>
      </patternFill>
    </fill>
    <fill>
      <patternFill patternType="solid">
        <fgColor theme="9" tint="0.39997558519241921"/>
        <bgColor indexed="64"/>
      </patternFill>
    </fill>
    <fill>
      <patternFill patternType="solid">
        <fgColor theme="9" tint="0.59999389629810485"/>
        <bgColor indexed="64"/>
      </patternFill>
    </fill>
    <fill>
      <patternFill patternType="solid">
        <fgColor rgb="FFB8C7F6"/>
        <bgColor indexed="64"/>
      </patternFill>
    </fill>
    <fill>
      <patternFill patternType="solid">
        <fgColor rgb="FFD8D8D8"/>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rgb="FFD9D9D9"/>
        <bgColor rgb="FF000000"/>
      </patternFill>
    </fill>
    <fill>
      <patternFill patternType="solid">
        <fgColor rgb="FFF2F2F2"/>
        <bgColor rgb="FF000000"/>
      </patternFill>
    </fill>
    <fill>
      <patternFill patternType="solid">
        <fgColor theme="7" tint="0.79998168889431442"/>
        <bgColor indexed="64"/>
      </patternFill>
    </fill>
    <fill>
      <patternFill patternType="solid">
        <fgColor theme="9" tint="0.59996337778862885"/>
        <bgColor indexed="64"/>
      </patternFill>
    </fill>
  </fills>
  <borders count="68">
    <border>
      <left/>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thin">
        <color indexed="64"/>
      </right>
      <top style="hair">
        <color indexed="64"/>
      </top>
      <bottom style="double">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bottom style="double">
        <color indexed="64"/>
      </bottom>
      <diagonal/>
    </border>
    <border>
      <left/>
      <right/>
      <top style="hair">
        <color indexed="64"/>
      </top>
      <bottom/>
      <diagonal/>
    </border>
    <border>
      <left style="thin">
        <color indexed="64"/>
      </left>
      <right style="thin">
        <color indexed="64"/>
      </right>
      <top style="hair">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hair">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hair">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bottom style="hair">
        <color indexed="64"/>
      </bottom>
      <diagonal/>
    </border>
  </borders>
  <cellStyleXfs count="6">
    <xf numFmtId="0" fontId="0" fillId="0" borderId="0"/>
    <xf numFmtId="0" fontId="3" fillId="0" borderId="0"/>
    <xf numFmtId="0" fontId="16" fillId="0" borderId="0" applyNumberFormat="0" applyFill="0" applyBorder="0" applyAlignment="0" applyProtection="0">
      <alignment vertical="top"/>
      <protection locked="0"/>
    </xf>
    <xf numFmtId="0" fontId="3" fillId="0" borderId="0"/>
    <xf numFmtId="0" fontId="3" fillId="0" borderId="0"/>
    <xf numFmtId="0" fontId="46" fillId="0" borderId="0"/>
  </cellStyleXfs>
  <cellXfs count="956">
    <xf numFmtId="0" fontId="0" fillId="0" borderId="0" xfId="0"/>
    <xf numFmtId="0" fontId="2" fillId="3" borderId="0" xfId="0" applyFont="1" applyFill="1" applyAlignment="1" applyProtection="1">
      <alignment horizontal="center" vertical="center" wrapText="1"/>
    </xf>
    <xf numFmtId="0" fontId="1" fillId="3" borderId="0" xfId="0" applyFont="1" applyFill="1" applyAlignment="1" applyProtection="1">
      <alignment horizontal="center" vertical="center" wrapText="1"/>
    </xf>
    <xf numFmtId="0" fontId="1" fillId="3" borderId="0" xfId="0" applyNumberFormat="1" applyFont="1" applyFill="1" applyAlignment="1" applyProtection="1">
      <alignment horizontal="center" vertical="center" wrapText="1"/>
    </xf>
    <xf numFmtId="0" fontId="1" fillId="3" borderId="0" xfId="0" applyFont="1" applyFill="1" applyAlignment="1" applyProtection="1">
      <alignment wrapText="1"/>
    </xf>
    <xf numFmtId="0" fontId="2" fillId="3" borderId="0" xfId="0" applyFont="1" applyFill="1" applyAlignment="1" applyProtection="1">
      <alignment wrapText="1"/>
    </xf>
    <xf numFmtId="0" fontId="1" fillId="0"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xf>
    <xf numFmtId="0" fontId="1" fillId="5" borderId="13" xfId="0" applyFont="1" applyFill="1" applyBorder="1" applyAlignment="1" applyProtection="1">
      <alignment horizontal="center" vertical="center" wrapText="1"/>
    </xf>
    <xf numFmtId="0" fontId="1" fillId="6" borderId="13" xfId="0" applyFont="1" applyFill="1" applyBorder="1" applyAlignment="1" applyProtection="1">
      <alignment horizontal="left" vertical="center" wrapText="1" indent="1"/>
      <protection locked="0"/>
    </xf>
    <xf numFmtId="0" fontId="1" fillId="6" borderId="13" xfId="0" applyFont="1" applyFill="1" applyBorder="1" applyAlignment="1" applyProtection="1">
      <alignment vertical="center" wrapText="1"/>
      <protection locked="0"/>
    </xf>
    <xf numFmtId="0" fontId="1" fillId="0" borderId="14" xfId="0" applyFont="1" applyFill="1" applyBorder="1" applyAlignment="1" applyProtection="1">
      <alignment horizontal="left" vertical="center" wrapText="1" indent="1"/>
    </xf>
    <xf numFmtId="0" fontId="1" fillId="7" borderId="13" xfId="0" applyFont="1" applyFill="1" applyBorder="1" applyAlignment="1" applyProtection="1">
      <alignment horizontal="center" vertical="center"/>
    </xf>
    <xf numFmtId="2" fontId="1" fillId="7" borderId="13" xfId="0" applyNumberFormat="1" applyFont="1" applyFill="1" applyBorder="1" applyAlignment="1" applyProtection="1">
      <alignment horizontal="center" vertical="center" wrapText="1"/>
    </xf>
    <xf numFmtId="0" fontId="1" fillId="7" borderId="13" xfId="0" applyNumberFormat="1" applyFont="1" applyFill="1" applyBorder="1" applyAlignment="1" applyProtection="1">
      <alignment horizontal="center" vertical="center" wrapText="1"/>
    </xf>
    <xf numFmtId="0" fontId="1" fillId="0" borderId="3" xfId="0" applyFont="1" applyFill="1" applyBorder="1" applyAlignment="1" applyProtection="1">
      <alignment wrapText="1"/>
    </xf>
    <xf numFmtId="0" fontId="1" fillId="5" borderId="14" xfId="0" applyFont="1" applyFill="1" applyBorder="1" applyAlignment="1" applyProtection="1">
      <alignment horizontal="center" vertical="center" wrapText="1"/>
    </xf>
    <xf numFmtId="0" fontId="1" fillId="6" borderId="14" xfId="0" applyFont="1" applyFill="1" applyBorder="1" applyAlignment="1" applyProtection="1">
      <alignment horizontal="left" vertical="center" wrapText="1" indent="1"/>
      <protection locked="0"/>
    </xf>
    <xf numFmtId="0" fontId="1" fillId="6" borderId="14" xfId="0" applyFont="1" applyFill="1" applyBorder="1" applyAlignment="1" applyProtection="1">
      <alignment vertical="center" wrapText="1"/>
      <protection locked="0"/>
    </xf>
    <xf numFmtId="0" fontId="1" fillId="0" borderId="15" xfId="0" applyFont="1" applyFill="1" applyBorder="1" applyAlignment="1" applyProtection="1">
      <alignment horizontal="left" vertical="center" wrapText="1" indent="1"/>
    </xf>
    <xf numFmtId="0" fontId="1" fillId="0" borderId="13" xfId="0" applyFont="1" applyFill="1" applyBorder="1" applyAlignment="1" applyProtection="1">
      <alignment horizontal="left" vertical="center" wrapText="1" indent="1"/>
    </xf>
    <xf numFmtId="0" fontId="6" fillId="3" borderId="0" xfId="0" applyFont="1" applyFill="1" applyBorder="1" applyAlignment="1" applyProtection="1">
      <alignment wrapText="1"/>
    </xf>
    <xf numFmtId="0" fontId="9" fillId="3" borderId="0" xfId="0" applyFont="1" applyFill="1" applyAlignment="1" applyProtection="1">
      <alignment wrapText="1"/>
    </xf>
    <xf numFmtId="0" fontId="7" fillId="4" borderId="6" xfId="0" applyFont="1" applyFill="1" applyBorder="1" applyAlignment="1" applyProtection="1">
      <alignment vertical="center"/>
    </xf>
    <xf numFmtId="0" fontId="3" fillId="3" borderId="0" xfId="1" applyFont="1" applyFill="1" applyBorder="1" applyAlignment="1" applyProtection="1">
      <alignment vertical="top" wrapText="1"/>
    </xf>
    <xf numFmtId="0" fontId="14" fillId="3" borderId="0" xfId="1" applyFont="1" applyFill="1" applyBorder="1" applyAlignment="1" applyProtection="1">
      <alignment vertical="top" wrapText="1"/>
    </xf>
    <xf numFmtId="0" fontId="5" fillId="3" borderId="0" xfId="1" applyFont="1" applyFill="1" applyBorder="1" applyAlignment="1" applyProtection="1">
      <alignment vertical="top" wrapText="1"/>
    </xf>
    <xf numFmtId="0" fontId="15" fillId="3" borderId="0" xfId="1" applyFont="1" applyFill="1" applyBorder="1" applyAlignment="1" applyProtection="1">
      <alignment vertical="top" wrapText="1"/>
    </xf>
    <xf numFmtId="0" fontId="14" fillId="11" borderId="1" xfId="1" applyFont="1" applyFill="1" applyBorder="1" applyAlignment="1" applyProtection="1">
      <alignment horizontal="left" vertical="top" wrapText="1" indent="1"/>
    </xf>
    <xf numFmtId="0" fontId="14" fillId="11" borderId="0" xfId="1" applyFont="1" applyFill="1" applyBorder="1" applyAlignment="1" applyProtection="1">
      <alignment horizontal="left" vertical="top" wrapText="1" indent="1"/>
    </xf>
    <xf numFmtId="0" fontId="14" fillId="11" borderId="2" xfId="1" applyFont="1" applyFill="1" applyBorder="1" applyAlignment="1" applyProtection="1">
      <alignment horizontal="left" vertical="top" wrapText="1" indent="1"/>
    </xf>
    <xf numFmtId="0" fontId="3" fillId="4" borderId="3" xfId="1" applyFont="1" applyFill="1" applyBorder="1" applyAlignment="1" applyProtection="1">
      <alignment horizontal="center" vertical="center"/>
    </xf>
    <xf numFmtId="0" fontId="3" fillId="3" borderId="0" xfId="1" applyFont="1" applyFill="1" applyProtection="1"/>
    <xf numFmtId="0" fontId="3" fillId="10" borderId="4" xfId="1" applyFont="1" applyFill="1" applyBorder="1" applyAlignment="1" applyProtection="1">
      <alignment horizontal="center" vertical="center"/>
    </xf>
    <xf numFmtId="0" fontId="3" fillId="10" borderId="3" xfId="1" applyFont="1" applyFill="1" applyBorder="1" applyAlignment="1" applyProtection="1">
      <alignment horizontal="center" vertical="center"/>
    </xf>
    <xf numFmtId="0" fontId="3" fillId="0" borderId="0" xfId="1" applyFont="1" applyFill="1" applyProtection="1"/>
    <xf numFmtId="0" fontId="15" fillId="4" borderId="0" xfId="1" applyFont="1" applyFill="1" applyBorder="1" applyAlignment="1" applyProtection="1">
      <alignment vertical="center"/>
    </xf>
    <xf numFmtId="0" fontId="15" fillId="11" borderId="1" xfId="1" applyFont="1" applyFill="1" applyBorder="1" applyAlignment="1" applyProtection="1">
      <alignment horizontal="left" vertical="top" wrapText="1"/>
    </xf>
    <xf numFmtId="0" fontId="15" fillId="11" borderId="0" xfId="1" applyFont="1" applyFill="1" applyBorder="1" applyAlignment="1" applyProtection="1">
      <alignment horizontal="left" vertical="top" wrapText="1"/>
    </xf>
    <xf numFmtId="0" fontId="15" fillId="11" borderId="2" xfId="1" applyFont="1" applyFill="1" applyBorder="1" applyAlignment="1" applyProtection="1">
      <alignment horizontal="left" vertical="top" wrapText="1"/>
    </xf>
    <xf numFmtId="0" fontId="3" fillId="11" borderId="1" xfId="1" applyFont="1" applyFill="1" applyBorder="1" applyAlignment="1" applyProtection="1">
      <alignment horizontal="center" vertical="center" wrapText="1"/>
    </xf>
    <xf numFmtId="0" fontId="3" fillId="11" borderId="0" xfId="1" applyFont="1" applyFill="1" applyBorder="1" applyAlignment="1" applyProtection="1">
      <alignment horizontal="center" vertical="center" wrapText="1"/>
    </xf>
    <xf numFmtId="0" fontId="3" fillId="2" borderId="0" xfId="1" applyFont="1" applyFill="1" applyBorder="1" applyAlignment="1" applyProtection="1">
      <alignment horizontal="center" vertical="center" wrapText="1"/>
    </xf>
    <xf numFmtId="0" fontId="3" fillId="9" borderId="4" xfId="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wrapText="1"/>
    </xf>
    <xf numFmtId="0" fontId="14" fillId="7" borderId="1" xfId="1" applyFont="1" applyFill="1" applyBorder="1" applyAlignment="1" applyProtection="1">
      <alignment vertical="top" wrapText="1"/>
    </xf>
    <xf numFmtId="49" fontId="3" fillId="6" borderId="13" xfId="1" applyNumberFormat="1" applyFont="1" applyFill="1" applyBorder="1" applyAlignment="1" applyProtection="1">
      <alignment horizontal="left" vertical="center" wrapText="1" indent="1"/>
      <protection locked="0"/>
    </xf>
    <xf numFmtId="49" fontId="3" fillId="6" borderId="20" xfId="1" applyNumberFormat="1" applyFont="1" applyFill="1" applyBorder="1" applyAlignment="1" applyProtection="1">
      <alignment horizontal="left" vertical="center" indent="1"/>
      <protection locked="0"/>
    </xf>
    <xf numFmtId="49" fontId="3" fillId="6" borderId="21" xfId="1" applyNumberFormat="1" applyFont="1" applyFill="1" applyBorder="1" applyAlignment="1" applyProtection="1">
      <alignment horizontal="left" vertical="center" wrapText="1" indent="1"/>
      <protection locked="0"/>
    </xf>
    <xf numFmtId="49" fontId="3" fillId="6" borderId="14" xfId="1" applyNumberFormat="1" applyFont="1" applyFill="1" applyBorder="1" applyAlignment="1" applyProtection="1">
      <alignment horizontal="left" vertical="center" wrapText="1" indent="1"/>
      <protection locked="0"/>
    </xf>
    <xf numFmtId="0" fontId="3" fillId="7" borderId="0" xfId="1" applyFont="1" applyFill="1" applyBorder="1" applyAlignment="1" applyProtection="1">
      <alignment horizontal="left" vertical="center" wrapText="1" indent="1"/>
    </xf>
    <xf numFmtId="49" fontId="17" fillId="7" borderId="0" xfId="1" applyNumberFormat="1" applyFont="1" applyFill="1" applyBorder="1" applyAlignment="1" applyProtection="1">
      <alignment vertical="center"/>
    </xf>
    <xf numFmtId="49" fontId="3" fillId="7" borderId="0" xfId="1" applyNumberFormat="1" applyFont="1" applyFill="1" applyBorder="1" applyAlignment="1" applyProtection="1">
      <alignment vertical="center" wrapText="1"/>
    </xf>
    <xf numFmtId="0" fontId="14" fillId="4" borderId="3" xfId="1" applyFont="1" applyFill="1" applyBorder="1" applyAlignment="1" applyProtection="1">
      <alignment horizontal="right" vertical="center"/>
    </xf>
    <xf numFmtId="0" fontId="14" fillId="7" borderId="0" xfId="1" applyFont="1" applyFill="1" applyBorder="1" applyAlignment="1" applyProtection="1">
      <alignment horizontal="left" vertical="center" wrapText="1"/>
    </xf>
    <xf numFmtId="49" fontId="3" fillId="7" borderId="0" xfId="1" applyNumberFormat="1" applyFont="1" applyFill="1" applyBorder="1" applyAlignment="1" applyProtection="1">
      <alignment vertical="top"/>
    </xf>
    <xf numFmtId="49" fontId="3" fillId="7" borderId="0" xfId="1" applyNumberFormat="1" applyFont="1" applyFill="1" applyBorder="1" applyAlignment="1" applyProtection="1">
      <alignment vertical="top" wrapText="1"/>
    </xf>
    <xf numFmtId="0" fontId="3" fillId="3" borderId="0" xfId="1" applyFont="1" applyFill="1" applyAlignment="1" applyProtection="1">
      <alignment horizontal="center" vertical="center"/>
    </xf>
    <xf numFmtId="0" fontId="5" fillId="15" borderId="3" xfId="1" applyFont="1" applyFill="1" applyBorder="1" applyAlignment="1" applyProtection="1">
      <alignment horizontal="center" vertical="center" wrapText="1"/>
    </xf>
    <xf numFmtId="0" fontId="3" fillId="15" borderId="13" xfId="1" applyFont="1" applyFill="1" applyBorder="1" applyAlignment="1" applyProtection="1">
      <alignment horizontal="left" vertical="center" wrapText="1" indent="1"/>
    </xf>
    <xf numFmtId="0" fontId="3" fillId="15" borderId="14" xfId="1" applyFont="1" applyFill="1" applyBorder="1" applyAlignment="1" applyProtection="1">
      <alignment horizontal="left" vertical="center" wrapText="1" indent="1"/>
    </xf>
    <xf numFmtId="0" fontId="3" fillId="15" borderId="15" xfId="1" applyFont="1" applyFill="1" applyBorder="1" applyAlignment="1" applyProtection="1">
      <alignment horizontal="left" vertical="center" wrapText="1" indent="1"/>
    </xf>
    <xf numFmtId="0" fontId="6" fillId="0" borderId="1"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1" fillId="0" borderId="0" xfId="0" applyFont="1" applyFill="1" applyBorder="1" applyAlignment="1" applyProtection="1">
      <alignment horizontal="left" vertical="center" wrapText="1"/>
    </xf>
    <xf numFmtId="0" fontId="1" fillId="0" borderId="0" xfId="0" applyFont="1" applyBorder="1" applyAlignment="1" applyProtection="1">
      <alignment horizontal="left" vertical="center"/>
    </xf>
    <xf numFmtId="0" fontId="1" fillId="0" borderId="0" xfId="0" applyFont="1" applyBorder="1" applyAlignment="1" applyProtection="1">
      <alignment horizontal="left" vertical="center" wrapText="1"/>
    </xf>
    <xf numFmtId="49" fontId="3" fillId="3" borderId="0" xfId="0" applyNumberFormat="1" applyFont="1" applyFill="1" applyAlignment="1" applyProtection="1">
      <alignment horizontal="center" vertical="center" wrapText="1"/>
    </xf>
    <xf numFmtId="0" fontId="1" fillId="0" borderId="2" xfId="0" applyFont="1" applyBorder="1" applyAlignment="1" applyProtection="1">
      <alignment horizontal="left" vertical="center" wrapText="1"/>
    </xf>
    <xf numFmtId="0" fontId="3" fillId="15" borderId="3" xfId="0" applyFont="1" applyFill="1" applyBorder="1" applyAlignment="1" applyProtection="1">
      <alignment horizontal="center" vertical="center" wrapText="1"/>
    </xf>
    <xf numFmtId="0" fontId="1" fillId="8" borderId="13" xfId="0" applyFont="1" applyFill="1" applyBorder="1" applyAlignment="1" applyProtection="1">
      <alignment horizontal="center" vertical="center" wrapText="1"/>
    </xf>
    <xf numFmtId="0" fontId="1" fillId="8" borderId="14" xfId="0" applyFont="1" applyFill="1" applyBorder="1" applyAlignment="1" applyProtection="1">
      <alignment horizontal="center" vertical="center" wrapText="1"/>
    </xf>
    <xf numFmtId="0" fontId="1" fillId="6" borderId="13" xfId="0" applyFont="1" applyFill="1" applyBorder="1" applyAlignment="1" applyProtection="1">
      <alignment horizontal="right" vertical="center" wrapText="1"/>
      <protection locked="0"/>
    </xf>
    <xf numFmtId="0" fontId="1" fillId="6" borderId="14" xfId="0" applyFont="1" applyFill="1" applyBorder="1" applyAlignment="1" applyProtection="1">
      <alignment horizontal="right" vertical="center" wrapText="1"/>
      <protection locked="0"/>
    </xf>
    <xf numFmtId="0" fontId="1" fillId="3" borderId="0" xfId="0" applyFont="1" applyFill="1" applyAlignment="1" applyProtection="1">
      <alignment vertical="center" wrapText="1"/>
    </xf>
    <xf numFmtId="0" fontId="1" fillId="6" borderId="15" xfId="0" applyFont="1" applyFill="1" applyBorder="1" applyAlignment="1" applyProtection="1">
      <alignment vertical="center" wrapText="1"/>
      <protection locked="0"/>
    </xf>
    <xf numFmtId="0" fontId="6" fillId="3" borderId="0" xfId="0" applyFont="1" applyFill="1" applyBorder="1" applyAlignment="1" applyProtection="1">
      <alignment vertical="center" wrapText="1"/>
    </xf>
    <xf numFmtId="0" fontId="6" fillId="3" borderId="0" xfId="0" applyFont="1" applyFill="1" applyBorder="1" applyAlignment="1" applyProtection="1">
      <alignment horizontal="left" vertical="center" wrapText="1"/>
    </xf>
    <xf numFmtId="0" fontId="3" fillId="3" borderId="0" xfId="0" applyFont="1" applyFill="1" applyAlignment="1" applyProtection="1">
      <alignment vertical="center" wrapText="1"/>
    </xf>
    <xf numFmtId="0" fontId="1" fillId="3" borderId="0" xfId="0" applyFont="1" applyFill="1" applyBorder="1" applyAlignment="1" applyProtection="1">
      <alignment vertical="center" wrapText="1"/>
    </xf>
    <xf numFmtId="0" fontId="9" fillId="3" borderId="0" xfId="0" applyFont="1" applyFill="1" applyBorder="1" applyAlignment="1" applyProtection="1">
      <alignment vertical="center" wrapText="1"/>
    </xf>
    <xf numFmtId="0" fontId="3" fillId="3" borderId="0" xfId="0" applyFont="1" applyFill="1" applyBorder="1" applyAlignment="1" applyProtection="1">
      <alignment vertical="center" wrapText="1"/>
    </xf>
    <xf numFmtId="0" fontId="3" fillId="3" borderId="0" xfId="0" applyFont="1" applyFill="1" applyAlignment="1" applyProtection="1">
      <alignment wrapText="1"/>
    </xf>
    <xf numFmtId="0" fontId="16" fillId="15" borderId="12" xfId="2" applyFill="1" applyBorder="1" applyAlignment="1" applyProtection="1">
      <alignment horizontal="center" vertical="center" wrapText="1"/>
    </xf>
    <xf numFmtId="0" fontId="1" fillId="8" borderId="15" xfId="0" applyFont="1" applyFill="1" applyBorder="1" applyAlignment="1" applyProtection="1">
      <alignment horizontal="center" vertical="center" wrapText="1"/>
    </xf>
    <xf numFmtId="0" fontId="1" fillId="3" borderId="0" xfId="0" applyFont="1" applyFill="1" applyProtection="1"/>
    <xf numFmtId="0" fontId="5" fillId="3" borderId="2" xfId="0" applyFont="1" applyFill="1" applyBorder="1" applyAlignment="1" applyProtection="1">
      <alignment horizontal="left" vertical="center" wrapText="1" indent="1"/>
    </xf>
    <xf numFmtId="0" fontId="1" fillId="2" borderId="1" xfId="0" applyFont="1" applyFill="1" applyBorder="1" applyAlignment="1" applyProtection="1">
      <alignment horizontal="center" vertical="center"/>
    </xf>
    <xf numFmtId="0" fontId="1" fillId="2" borderId="2" xfId="0" applyFont="1" applyFill="1" applyBorder="1" applyAlignment="1" applyProtection="1">
      <alignment horizontal="center" vertical="center"/>
    </xf>
    <xf numFmtId="0" fontId="20" fillId="0" borderId="1" xfId="0" applyFont="1" applyBorder="1" applyAlignment="1" applyProtection="1">
      <alignment horizontal="left" vertical="center" wrapText="1" indent="1"/>
    </xf>
    <xf numFmtId="0" fontId="20" fillId="0" borderId="0" xfId="0" applyFont="1" applyBorder="1" applyAlignment="1" applyProtection="1">
      <alignment horizontal="left" vertical="center" wrapText="1" indent="1"/>
    </xf>
    <xf numFmtId="0" fontId="4" fillId="0" borderId="0" xfId="0" applyFont="1" applyBorder="1" applyAlignment="1" applyProtection="1">
      <alignment horizontal="left" vertical="center" wrapText="1" indent="1"/>
    </xf>
    <xf numFmtId="0" fontId="4" fillId="0" borderId="2" xfId="0" applyFont="1" applyBorder="1" applyAlignment="1" applyProtection="1">
      <alignment horizontal="left" vertical="center" wrapText="1" indent="1"/>
    </xf>
    <xf numFmtId="0" fontId="6" fillId="7" borderId="1" xfId="0" applyFont="1" applyFill="1" applyBorder="1" applyAlignment="1" applyProtection="1">
      <alignment horizontal="left" vertical="center" wrapText="1" indent="1"/>
    </xf>
    <xf numFmtId="0" fontId="6" fillId="7" borderId="0" xfId="0" applyFont="1" applyFill="1" applyBorder="1" applyAlignment="1" applyProtection="1">
      <alignment horizontal="left" vertical="center" wrapText="1" indent="1"/>
    </xf>
    <xf numFmtId="0" fontId="1" fillId="7" borderId="0" xfId="0" applyFont="1" applyFill="1" applyBorder="1" applyAlignment="1" applyProtection="1">
      <alignment horizontal="left" vertical="center" wrapText="1" indent="1"/>
    </xf>
    <xf numFmtId="0" fontId="1" fillId="7" borderId="2" xfId="0" applyFont="1" applyFill="1" applyBorder="1" applyAlignment="1" applyProtection="1">
      <alignment horizontal="left" vertical="center" wrapText="1" indent="1"/>
    </xf>
    <xf numFmtId="0" fontId="6" fillId="7" borderId="1" xfId="0" applyFont="1" applyFill="1" applyBorder="1" applyAlignment="1" applyProtection="1">
      <alignment horizontal="center" vertical="center" wrapText="1"/>
    </xf>
    <xf numFmtId="0" fontId="6" fillId="7" borderId="0" xfId="0" applyFont="1" applyFill="1" applyBorder="1" applyAlignment="1" applyProtection="1">
      <alignment horizontal="center" vertical="center" wrapText="1"/>
    </xf>
    <xf numFmtId="0" fontId="1" fillId="3" borderId="0" xfId="0" applyFont="1" applyFill="1" applyAlignment="1" applyProtection="1">
      <alignment horizontal="center"/>
    </xf>
    <xf numFmtId="0" fontId="3" fillId="2" borderId="2" xfId="0" applyFont="1" applyFill="1" applyBorder="1" applyAlignment="1" applyProtection="1">
      <alignment horizontal="center" vertical="center" wrapText="1"/>
    </xf>
    <xf numFmtId="164" fontId="1" fillId="0" borderId="13" xfId="0" applyNumberFormat="1" applyFont="1" applyBorder="1" applyAlignment="1" applyProtection="1">
      <alignment vertical="center" wrapText="1"/>
    </xf>
    <xf numFmtId="164" fontId="1" fillId="0" borderId="15" xfId="0" applyNumberFormat="1" applyFont="1" applyBorder="1" applyAlignment="1" applyProtection="1">
      <alignment vertical="center" wrapText="1"/>
    </xf>
    <xf numFmtId="164" fontId="3" fillId="6" borderId="21" xfId="0" applyNumberFormat="1" applyFont="1" applyFill="1" applyBorder="1" applyAlignment="1" applyProtection="1">
      <alignment horizontal="right" vertical="center" wrapText="1"/>
      <protection locked="0"/>
    </xf>
    <xf numFmtId="164" fontId="1" fillId="6" borderId="21" xfId="0" applyNumberFormat="1" applyFont="1" applyFill="1" applyBorder="1" applyAlignment="1" applyProtection="1">
      <alignment vertical="center" wrapText="1"/>
      <protection locked="0"/>
    </xf>
    <xf numFmtId="164" fontId="3" fillId="6" borderId="26" xfId="0" applyNumberFormat="1" applyFont="1" applyFill="1" applyBorder="1" applyAlignment="1" applyProtection="1">
      <alignment horizontal="right" vertical="center" wrapText="1"/>
      <protection locked="0"/>
    </xf>
    <xf numFmtId="164" fontId="1" fillId="6" borderId="26" xfId="0" applyNumberFormat="1" applyFont="1" applyFill="1" applyBorder="1" applyAlignment="1" applyProtection="1">
      <alignment vertical="center" wrapText="1"/>
      <protection locked="0"/>
    </xf>
    <xf numFmtId="164" fontId="6" fillId="7" borderId="21" xfId="0" applyNumberFormat="1" applyFont="1" applyFill="1" applyBorder="1" applyAlignment="1" applyProtection="1">
      <alignment vertical="center" wrapText="1"/>
    </xf>
    <xf numFmtId="164" fontId="6" fillId="7" borderId="15" xfId="0" applyNumberFormat="1" applyFont="1" applyFill="1" applyBorder="1" applyAlignment="1" applyProtection="1">
      <alignment vertical="center" wrapText="1"/>
    </xf>
    <xf numFmtId="0" fontId="1" fillId="0" borderId="1" xfId="0" applyFont="1" applyBorder="1" applyAlignment="1" applyProtection="1">
      <alignment wrapText="1"/>
    </xf>
    <xf numFmtId="0" fontId="1" fillId="0" borderId="0" xfId="0" applyFont="1" applyBorder="1" applyAlignment="1" applyProtection="1">
      <alignment wrapText="1"/>
    </xf>
    <xf numFmtId="0" fontId="1" fillId="0" borderId="2" xfId="0" applyFont="1" applyBorder="1" applyAlignment="1" applyProtection="1">
      <alignment wrapText="1"/>
    </xf>
    <xf numFmtId="164" fontId="1" fillId="7" borderId="21" xfId="0" applyNumberFormat="1" applyFont="1" applyFill="1" applyBorder="1" applyAlignment="1" applyProtection="1">
      <alignment vertical="center" wrapText="1"/>
    </xf>
    <xf numFmtId="164" fontId="6" fillId="7" borderId="12" xfId="0" applyNumberFormat="1" applyFont="1" applyFill="1" applyBorder="1" applyAlignment="1" applyProtection="1">
      <alignment vertical="center" wrapText="1"/>
    </xf>
    <xf numFmtId="0" fontId="1" fillId="3" borderId="0" xfId="0" applyFont="1" applyFill="1" applyAlignment="1" applyProtection="1">
      <alignment vertical="center"/>
    </xf>
    <xf numFmtId="0" fontId="1" fillId="2" borderId="5" xfId="0" applyFont="1" applyFill="1" applyBorder="1" applyAlignment="1" applyProtection="1">
      <alignment horizontal="center" vertical="center"/>
    </xf>
    <xf numFmtId="0" fontId="1" fillId="2" borderId="7" xfId="0" applyFont="1" applyFill="1" applyBorder="1" applyAlignment="1" applyProtection="1">
      <alignment horizontal="center" vertical="center"/>
    </xf>
    <xf numFmtId="0" fontId="1" fillId="3" borderId="0" xfId="0" applyFont="1" applyFill="1" applyAlignment="1" applyProtection="1">
      <alignment horizontal="center" vertical="center"/>
    </xf>
    <xf numFmtId="0" fontId="1" fillId="8" borderId="19" xfId="0" applyFont="1" applyFill="1" applyBorder="1" applyAlignment="1" applyProtection="1">
      <alignment horizontal="left" vertical="center" wrapText="1" indent="1"/>
    </xf>
    <xf numFmtId="0" fontId="22" fillId="8" borderId="15" xfId="0" quotePrefix="1" applyFont="1" applyFill="1" applyBorder="1" applyAlignment="1" applyProtection="1">
      <alignment horizontal="left" vertical="center" wrapText="1" indent="3"/>
    </xf>
    <xf numFmtId="0" fontId="1" fillId="8" borderId="21" xfId="0" applyFont="1" applyFill="1" applyBorder="1" applyAlignment="1" applyProtection="1">
      <alignment horizontal="left" vertical="center" wrapText="1" indent="1"/>
    </xf>
    <xf numFmtId="0" fontId="22" fillId="8" borderId="26" xfId="0" quotePrefix="1" applyFont="1" applyFill="1" applyBorder="1" applyAlignment="1" applyProtection="1">
      <alignment horizontal="left" vertical="center" wrapText="1" indent="3"/>
    </xf>
    <xf numFmtId="0" fontId="6" fillId="15" borderId="21" xfId="0" applyFont="1" applyFill="1" applyBorder="1" applyAlignment="1" applyProtection="1">
      <alignment horizontal="left" vertical="center" wrapText="1" indent="1"/>
    </xf>
    <xf numFmtId="0" fontId="23" fillId="15" borderId="15" xfId="0" quotePrefix="1" applyFont="1" applyFill="1" applyBorder="1" applyAlignment="1" applyProtection="1">
      <alignment horizontal="left" vertical="center" wrapText="1" indent="3"/>
    </xf>
    <xf numFmtId="0" fontId="6" fillId="7" borderId="0" xfId="0" applyFont="1" applyFill="1" applyBorder="1" applyAlignment="1" applyProtection="1">
      <alignment vertical="center" wrapText="1"/>
    </xf>
    <xf numFmtId="0" fontId="1" fillId="7" borderId="2" xfId="0" applyFont="1" applyFill="1" applyBorder="1" applyAlignment="1" applyProtection="1">
      <alignment vertical="center" wrapText="1"/>
    </xf>
    <xf numFmtId="164" fontId="25" fillId="6" borderId="13" xfId="0" applyNumberFormat="1" applyFont="1" applyFill="1" applyBorder="1" applyAlignment="1" applyProtection="1">
      <alignment horizontal="right" vertical="center" wrapText="1"/>
      <protection locked="0"/>
    </xf>
    <xf numFmtId="164" fontId="1" fillId="6" borderId="34" xfId="0" applyNumberFormat="1" applyFont="1" applyFill="1" applyBorder="1" applyAlignment="1" applyProtection="1">
      <alignment horizontal="right" vertical="center" wrapText="1"/>
      <protection locked="0"/>
    </xf>
    <xf numFmtId="164" fontId="25" fillId="6" borderId="36" xfId="0" applyNumberFormat="1" applyFont="1" applyFill="1" applyBorder="1" applyAlignment="1" applyProtection="1">
      <alignment horizontal="right" vertical="center" wrapText="1"/>
      <protection locked="0"/>
    </xf>
    <xf numFmtId="164" fontId="25" fillId="6" borderId="21" xfId="0" applyNumberFormat="1" applyFont="1" applyFill="1" applyBorder="1" applyAlignment="1" applyProtection="1">
      <alignment horizontal="right" vertical="center" wrapText="1"/>
      <protection locked="0"/>
    </xf>
    <xf numFmtId="164" fontId="1" fillId="6" borderId="26" xfId="0" applyNumberFormat="1" applyFont="1" applyFill="1" applyBorder="1" applyAlignment="1" applyProtection="1">
      <alignment horizontal="right" vertical="center" wrapText="1"/>
      <protection locked="0"/>
    </xf>
    <xf numFmtId="164" fontId="6" fillId="7" borderId="21" xfId="0" applyNumberFormat="1" applyFont="1" applyFill="1" applyBorder="1" applyAlignment="1" applyProtection="1">
      <alignment horizontal="right" vertical="center" wrapText="1"/>
    </xf>
    <xf numFmtId="164" fontId="6" fillId="7" borderId="15" xfId="0" applyNumberFormat="1" applyFont="1" applyFill="1" applyBorder="1" applyAlignment="1" applyProtection="1">
      <alignment horizontal="right" vertical="center" wrapText="1"/>
    </xf>
    <xf numFmtId="0" fontId="6" fillId="3" borderId="0" xfId="0" applyFont="1" applyFill="1" applyProtection="1"/>
    <xf numFmtId="164" fontId="6" fillId="7" borderId="0" xfId="0" applyNumberFormat="1" applyFont="1" applyFill="1" applyBorder="1" applyAlignment="1" applyProtection="1">
      <alignment horizontal="right" vertical="center" wrapText="1"/>
    </xf>
    <xf numFmtId="164" fontId="6" fillId="7" borderId="2" xfId="0" applyNumberFormat="1" applyFont="1" applyFill="1" applyBorder="1" applyAlignment="1" applyProtection="1">
      <alignment horizontal="right" vertical="center" wrapText="1"/>
    </xf>
    <xf numFmtId="164" fontId="25" fillId="6" borderId="3" xfId="0" applyNumberFormat="1" applyFont="1" applyFill="1" applyBorder="1" applyAlignment="1" applyProtection="1">
      <alignment horizontal="right" vertical="center" wrapText="1"/>
      <protection locked="0"/>
    </xf>
    <xf numFmtId="164" fontId="1" fillId="8" borderId="13" xfId="0" applyNumberFormat="1" applyFont="1" applyFill="1" applyBorder="1" applyAlignment="1" applyProtection="1">
      <alignment horizontal="left" vertical="center" wrapText="1" indent="1"/>
    </xf>
    <xf numFmtId="164" fontId="22" fillId="8" borderId="34" xfId="0" applyNumberFormat="1" applyFont="1" applyFill="1" applyBorder="1" applyAlignment="1" applyProtection="1">
      <alignment horizontal="left" vertical="center" wrapText="1" indent="3"/>
    </xf>
    <xf numFmtId="164" fontId="1" fillId="8" borderId="36" xfId="0" applyNumberFormat="1" applyFont="1" applyFill="1" applyBorder="1" applyAlignment="1" applyProtection="1">
      <alignment horizontal="left" vertical="center" wrapText="1" indent="1"/>
    </xf>
    <xf numFmtId="164" fontId="1" fillId="8" borderId="21" xfId="0" applyNumberFormat="1" applyFont="1" applyFill="1" applyBorder="1" applyAlignment="1" applyProtection="1">
      <alignment horizontal="left" vertical="center" wrapText="1" indent="1"/>
    </xf>
    <xf numFmtId="164" fontId="22" fillId="8" borderId="26" xfId="0" applyNumberFormat="1" applyFont="1" applyFill="1" applyBorder="1" applyAlignment="1" applyProtection="1">
      <alignment horizontal="left" vertical="center" wrapText="1" indent="3"/>
    </xf>
    <xf numFmtId="164" fontId="6" fillId="15" borderId="21" xfId="0" applyNumberFormat="1" applyFont="1" applyFill="1" applyBorder="1" applyAlignment="1" applyProtection="1">
      <alignment horizontal="left" vertical="center" wrapText="1" indent="1"/>
    </xf>
    <xf numFmtId="164" fontId="23" fillId="15" borderId="15" xfId="0" applyNumberFormat="1" applyFont="1" applyFill="1" applyBorder="1" applyAlignment="1" applyProtection="1">
      <alignment horizontal="left" vertical="center" wrapText="1" indent="3"/>
    </xf>
    <xf numFmtId="0" fontId="1" fillId="7" borderId="1" xfId="0" applyFont="1" applyFill="1" applyBorder="1" applyAlignment="1" applyProtection="1">
      <alignment wrapText="1"/>
    </xf>
    <xf numFmtId="0" fontId="1" fillId="7" borderId="0" xfId="0" applyFont="1" applyFill="1" applyBorder="1" applyAlignment="1" applyProtection="1">
      <alignment wrapText="1"/>
    </xf>
    <xf numFmtId="0" fontId="1" fillId="7" borderId="2" xfId="0" applyFont="1" applyFill="1" applyBorder="1" applyAlignment="1" applyProtection="1">
      <alignment wrapText="1"/>
    </xf>
    <xf numFmtId="0" fontId="1" fillId="7" borderId="5" xfId="0" applyFont="1" applyFill="1" applyBorder="1" applyAlignment="1" applyProtection="1">
      <alignment horizontal="center" vertical="center" wrapText="1"/>
    </xf>
    <xf numFmtId="0" fontId="1" fillId="7" borderId="6" xfId="0" applyFont="1" applyFill="1" applyBorder="1" applyAlignment="1" applyProtection="1">
      <alignment horizontal="center" vertical="center" wrapText="1"/>
    </xf>
    <xf numFmtId="164" fontId="1" fillId="6" borderId="13" xfId="0" applyNumberFormat="1" applyFont="1" applyFill="1" applyBorder="1" applyAlignment="1" applyProtection="1">
      <alignment vertical="center" wrapText="1"/>
      <protection locked="0"/>
    </xf>
    <xf numFmtId="164" fontId="1" fillId="6" borderId="15" xfId="0" applyNumberFormat="1" applyFont="1" applyFill="1" applyBorder="1" applyAlignment="1" applyProtection="1">
      <alignment vertical="center" wrapText="1"/>
      <protection locked="0"/>
    </xf>
    <xf numFmtId="164" fontId="1" fillId="6" borderId="36" xfId="0" applyNumberFormat="1" applyFont="1" applyFill="1" applyBorder="1" applyAlignment="1" applyProtection="1">
      <alignment vertical="center" wrapText="1"/>
      <protection locked="0"/>
    </xf>
    <xf numFmtId="164" fontId="1" fillId="6" borderId="53" xfId="0" applyNumberFormat="1" applyFont="1" applyFill="1" applyBorder="1" applyAlignment="1" applyProtection="1">
      <alignment vertical="center" wrapText="1"/>
      <protection locked="0"/>
    </xf>
    <xf numFmtId="164" fontId="6" fillId="7" borderId="3" xfId="0" applyNumberFormat="1" applyFont="1" applyFill="1" applyBorder="1" applyAlignment="1" applyProtection="1">
      <alignment vertical="center" wrapText="1"/>
    </xf>
    <xf numFmtId="164" fontId="6" fillId="7" borderId="0" xfId="0" applyNumberFormat="1" applyFont="1" applyFill="1" applyBorder="1" applyAlignment="1" applyProtection="1">
      <alignment vertical="center" wrapText="1"/>
    </xf>
    <xf numFmtId="164" fontId="6" fillId="7" borderId="1" xfId="0" applyNumberFormat="1" applyFont="1" applyFill="1" applyBorder="1" applyAlignment="1" applyProtection="1">
      <alignment horizontal="left" vertical="center" wrapText="1" indent="1"/>
    </xf>
    <xf numFmtId="164" fontId="6" fillId="7" borderId="0" xfId="0" applyNumberFormat="1" applyFont="1" applyFill="1" applyBorder="1" applyAlignment="1" applyProtection="1">
      <alignment horizontal="left" vertical="center" wrapText="1" indent="1"/>
    </xf>
    <xf numFmtId="164" fontId="1" fillId="7" borderId="0" xfId="0" applyNumberFormat="1" applyFont="1" applyFill="1" applyBorder="1" applyAlignment="1" applyProtection="1">
      <alignment wrapText="1"/>
    </xf>
    <xf numFmtId="164" fontId="1" fillId="7" borderId="2" xfId="0" applyNumberFormat="1" applyFont="1" applyFill="1" applyBorder="1" applyAlignment="1" applyProtection="1">
      <alignment wrapText="1"/>
    </xf>
    <xf numFmtId="0" fontId="1" fillId="8" borderId="27" xfId="0" applyFont="1" applyFill="1" applyBorder="1" applyAlignment="1" applyProtection="1">
      <alignment horizontal="left" vertical="center" wrapText="1" indent="1"/>
    </xf>
    <xf numFmtId="0" fontId="1" fillId="8" borderId="38" xfId="0" applyFont="1" applyFill="1" applyBorder="1" applyAlignment="1" applyProtection="1">
      <alignment horizontal="left" vertical="center" wrapText="1" indent="1"/>
    </xf>
    <xf numFmtId="0" fontId="1" fillId="8" borderId="13" xfId="0" applyFont="1" applyFill="1" applyBorder="1" applyAlignment="1" applyProtection="1">
      <alignment horizontal="left" vertical="center" wrapText="1" indent="1"/>
    </xf>
    <xf numFmtId="0" fontId="1" fillId="8" borderId="15" xfId="0" applyFont="1" applyFill="1" applyBorder="1" applyAlignment="1" applyProtection="1">
      <alignment horizontal="left" vertical="center" wrapText="1" indent="1"/>
    </xf>
    <xf numFmtId="164" fontId="6" fillId="8" borderId="49" xfId="0" applyNumberFormat="1" applyFont="1" applyFill="1" applyBorder="1" applyAlignment="1" applyProtection="1">
      <alignment horizontal="left" vertical="center" wrapText="1" indent="1"/>
    </xf>
    <xf numFmtId="0" fontId="3" fillId="15" borderId="54" xfId="0" applyFont="1" applyFill="1" applyBorder="1" applyAlignment="1" applyProtection="1">
      <alignment horizontal="center" vertical="center" wrapText="1"/>
    </xf>
    <xf numFmtId="0" fontId="3" fillId="2" borderId="10" xfId="1" applyFont="1" applyFill="1" applyBorder="1" applyAlignment="1" applyProtection="1">
      <alignment horizontal="center" vertical="center" wrapText="1"/>
    </xf>
    <xf numFmtId="0" fontId="5" fillId="2" borderId="4" xfId="1" applyFont="1" applyFill="1" applyBorder="1" applyAlignment="1" applyProtection="1">
      <alignment horizontal="center" vertical="center" wrapText="1"/>
    </xf>
    <xf numFmtId="0" fontId="15" fillId="11" borderId="1" xfId="1" applyFont="1" applyFill="1" applyBorder="1" applyAlignment="1" applyProtection="1">
      <alignment horizontal="left" vertical="top" wrapText="1" indent="1"/>
    </xf>
    <xf numFmtId="0" fontId="15" fillId="11" borderId="0" xfId="1" applyFont="1" applyFill="1" applyBorder="1" applyAlignment="1" applyProtection="1">
      <alignment horizontal="left" vertical="top" wrapText="1" indent="1"/>
    </xf>
    <xf numFmtId="0" fontId="5" fillId="11" borderId="0" xfId="1" applyFont="1" applyFill="1" applyBorder="1" applyAlignment="1" applyProtection="1">
      <alignment horizontal="left" vertical="top" wrapText="1" indent="1"/>
    </xf>
    <xf numFmtId="0" fontId="5" fillId="11" borderId="2" xfId="1" applyFont="1" applyFill="1" applyBorder="1" applyAlignment="1" applyProtection="1">
      <alignment horizontal="left" vertical="top" wrapText="1" indent="1"/>
    </xf>
    <xf numFmtId="0" fontId="3" fillId="2" borderId="4" xfId="1" applyFont="1" applyFill="1" applyBorder="1" applyAlignment="1" applyProtection="1">
      <alignment horizontal="center" vertical="center" wrapText="1"/>
    </xf>
    <xf numFmtId="0" fontId="28" fillId="7" borderId="1" xfId="1" applyFont="1" applyFill="1" applyBorder="1" applyAlignment="1" applyProtection="1">
      <alignment horizontal="left" vertical="center" wrapText="1" indent="1"/>
    </xf>
    <xf numFmtId="0" fontId="28" fillId="7" borderId="0" xfId="1" applyFont="1" applyFill="1" applyBorder="1" applyAlignment="1" applyProtection="1">
      <alignment horizontal="left" vertical="center" wrapText="1" indent="1"/>
    </xf>
    <xf numFmtId="0" fontId="28" fillId="7" borderId="2" xfId="1" applyFont="1" applyFill="1" applyBorder="1" applyAlignment="1" applyProtection="1">
      <alignment horizontal="left" vertical="center" wrapText="1" indent="1"/>
    </xf>
    <xf numFmtId="0" fontId="3" fillId="2" borderId="4" xfId="1" applyFont="1" applyFill="1" applyBorder="1" applyAlignment="1" applyProtection="1">
      <alignment horizontal="center" vertical="center"/>
    </xf>
    <xf numFmtId="3" fontId="1" fillId="7" borderId="13" xfId="0" applyNumberFormat="1" applyFont="1" applyFill="1" applyBorder="1" applyAlignment="1" applyProtection="1">
      <alignment horizontal="right" vertical="center" wrapText="1"/>
    </xf>
    <xf numFmtId="3" fontId="1" fillId="7" borderId="14" xfId="0" applyNumberFormat="1" applyFont="1" applyFill="1" applyBorder="1" applyAlignment="1" applyProtection="1">
      <alignment horizontal="right" vertical="center" wrapText="1"/>
    </xf>
    <xf numFmtId="3" fontId="1" fillId="7" borderId="39" xfId="0" applyNumberFormat="1" applyFont="1" applyFill="1" applyBorder="1" applyAlignment="1" applyProtection="1">
      <alignment horizontal="right" vertical="center" wrapText="1"/>
    </xf>
    <xf numFmtId="3" fontId="1" fillId="7" borderId="26" xfId="0" applyNumberFormat="1" applyFont="1" applyFill="1" applyBorder="1" applyAlignment="1" applyProtection="1">
      <alignment horizontal="right" vertical="center" wrapText="1"/>
    </xf>
    <xf numFmtId="3" fontId="14" fillId="7" borderId="12" xfId="1" applyNumberFormat="1" applyFont="1" applyFill="1" applyBorder="1" applyAlignment="1" applyProtection="1">
      <alignment horizontal="right" vertical="center"/>
    </xf>
    <xf numFmtId="3" fontId="3" fillId="10" borderId="3" xfId="1" applyNumberFormat="1" applyFont="1" applyFill="1" applyBorder="1" applyAlignment="1" applyProtection="1">
      <alignment horizontal="right" vertical="center" wrapText="1"/>
    </xf>
    <xf numFmtId="165" fontId="1" fillId="7" borderId="13" xfId="0" applyNumberFormat="1" applyFont="1" applyFill="1" applyBorder="1" applyAlignment="1" applyProtection="1">
      <alignment horizontal="right" vertical="center" wrapText="1"/>
    </xf>
    <xf numFmtId="165" fontId="1" fillId="7" borderId="14" xfId="0" applyNumberFormat="1" applyFont="1" applyFill="1" applyBorder="1" applyAlignment="1" applyProtection="1">
      <alignment horizontal="right" vertical="center" wrapText="1"/>
    </xf>
    <xf numFmtId="165" fontId="1" fillId="7" borderId="39" xfId="0" applyNumberFormat="1" applyFont="1" applyFill="1" applyBorder="1" applyAlignment="1" applyProtection="1">
      <alignment horizontal="right" vertical="center" wrapText="1"/>
    </xf>
    <xf numFmtId="165" fontId="1" fillId="7" borderId="26" xfId="0" applyNumberFormat="1" applyFont="1" applyFill="1" applyBorder="1" applyAlignment="1" applyProtection="1">
      <alignment horizontal="right" vertical="center" wrapText="1"/>
    </xf>
    <xf numFmtId="165" fontId="14" fillId="7" borderId="55" xfId="1" applyNumberFormat="1" applyFont="1" applyFill="1" applyBorder="1" applyAlignment="1" applyProtection="1">
      <alignment horizontal="right" vertical="center"/>
    </xf>
    <xf numFmtId="0" fontId="3" fillId="7" borderId="1" xfId="1" applyFont="1" applyFill="1" applyBorder="1" applyProtection="1"/>
    <xf numFmtId="0" fontId="3" fillId="7" borderId="0" xfId="1" applyFont="1" applyFill="1" applyBorder="1" applyProtection="1"/>
    <xf numFmtId="0" fontId="3" fillId="7" borderId="2" xfId="1" applyFont="1" applyFill="1" applyBorder="1" applyProtection="1"/>
    <xf numFmtId="0" fontId="26" fillId="7" borderId="0" xfId="1" applyFont="1" applyFill="1" applyBorder="1" applyAlignment="1" applyProtection="1">
      <alignment vertical="center" wrapText="1"/>
    </xf>
    <xf numFmtId="0" fontId="14" fillId="7" borderId="0" xfId="0" applyFont="1" applyFill="1" applyBorder="1" applyAlignment="1" applyProtection="1">
      <alignment horizontal="center" vertical="center" wrapText="1"/>
    </xf>
    <xf numFmtId="0" fontId="3" fillId="7" borderId="2" xfId="0" applyFont="1" applyFill="1" applyBorder="1" applyAlignment="1" applyProtection="1">
      <alignment horizontal="center" vertical="center" wrapText="1"/>
    </xf>
    <xf numFmtId="3" fontId="1" fillId="0" borderId="10" xfId="0" applyNumberFormat="1" applyFont="1" applyFill="1" applyBorder="1" applyAlignment="1" applyProtection="1">
      <alignment vertical="center" wrapText="1"/>
    </xf>
    <xf numFmtId="0" fontId="3" fillId="7" borderId="0" xfId="1" applyFont="1" applyFill="1" applyBorder="1" applyAlignment="1" applyProtection="1">
      <alignment vertical="center"/>
    </xf>
    <xf numFmtId="0" fontId="3" fillId="7" borderId="2" xfId="1" applyFont="1" applyFill="1" applyBorder="1" applyAlignment="1" applyProtection="1">
      <alignment vertical="center"/>
    </xf>
    <xf numFmtId="3" fontId="1" fillId="0" borderId="14" xfId="0" applyNumberFormat="1" applyFont="1" applyFill="1" applyBorder="1" applyAlignment="1" applyProtection="1">
      <alignment vertical="center" wrapText="1"/>
    </xf>
    <xf numFmtId="3" fontId="1" fillId="0" borderId="15" xfId="0" applyNumberFormat="1" applyFont="1" applyFill="1" applyBorder="1" applyAlignment="1" applyProtection="1">
      <alignment vertical="center" wrapText="1"/>
    </xf>
    <xf numFmtId="0" fontId="3" fillId="2" borderId="12" xfId="1" applyFont="1" applyFill="1" applyBorder="1" applyAlignment="1" applyProtection="1">
      <alignment horizontal="center" vertical="center"/>
    </xf>
    <xf numFmtId="0" fontId="0" fillId="3" borderId="0" xfId="0" applyFont="1" applyFill="1" applyAlignment="1" applyProtection="1">
      <alignment horizontal="center" vertical="center"/>
    </xf>
    <xf numFmtId="0" fontId="14" fillId="15" borderId="5" xfId="1" applyFont="1" applyFill="1" applyBorder="1" applyAlignment="1" applyProtection="1">
      <alignment horizontal="left" vertical="center" wrapText="1" indent="1"/>
    </xf>
    <xf numFmtId="0" fontId="14" fillId="15" borderId="30" xfId="1" applyFont="1" applyFill="1" applyBorder="1" applyAlignment="1" applyProtection="1">
      <alignment horizontal="left" vertical="center" wrapText="1" indent="1"/>
    </xf>
    <xf numFmtId="0" fontId="21" fillId="15" borderId="3" xfId="0" applyFont="1" applyFill="1" applyBorder="1" applyAlignment="1" applyProtection="1">
      <alignment horizontal="left" vertical="center" wrapText="1" indent="1"/>
    </xf>
    <xf numFmtId="0" fontId="3" fillId="8" borderId="5" xfId="1" applyFont="1" applyFill="1" applyBorder="1" applyAlignment="1" applyProtection="1">
      <alignment horizontal="left" vertical="center" wrapText="1" indent="1"/>
    </xf>
    <xf numFmtId="0" fontId="3" fillId="8" borderId="13" xfId="1" applyFont="1" applyFill="1" applyBorder="1" applyAlignment="1" applyProtection="1">
      <alignment horizontal="left" vertical="center" wrapText="1" indent="3"/>
    </xf>
    <xf numFmtId="0" fontId="3" fillId="8" borderId="14" xfId="1" applyFont="1" applyFill="1" applyBorder="1" applyAlignment="1" applyProtection="1">
      <alignment horizontal="left" vertical="center" wrapText="1" indent="3"/>
    </xf>
    <xf numFmtId="0" fontId="3" fillId="8" borderId="39" xfId="1" applyFont="1" applyFill="1" applyBorder="1" applyAlignment="1" applyProtection="1">
      <alignment horizontal="left" vertical="center" wrapText="1" indent="3"/>
    </xf>
    <xf numFmtId="0" fontId="3" fillId="8" borderId="26" xfId="1" applyFont="1" applyFill="1" applyBorder="1" applyAlignment="1" applyProtection="1">
      <alignment horizontal="left" vertical="center" wrapText="1" indent="3"/>
    </xf>
    <xf numFmtId="0" fontId="3" fillId="8" borderId="13" xfId="1" applyFont="1" applyFill="1" applyBorder="1" applyAlignment="1" applyProtection="1">
      <alignment horizontal="left" vertical="center" wrapText="1" indent="1"/>
    </xf>
    <xf numFmtId="0" fontId="3" fillId="8" borderId="14" xfId="1" applyFont="1" applyFill="1" applyBorder="1" applyAlignment="1" applyProtection="1">
      <alignment horizontal="left" vertical="center" wrapText="1" indent="1"/>
    </xf>
    <xf numFmtId="0" fontId="3" fillId="8" borderId="39" xfId="1" applyFont="1" applyFill="1" applyBorder="1" applyAlignment="1" applyProtection="1">
      <alignment horizontal="left" vertical="center" wrapText="1" indent="1"/>
    </xf>
    <xf numFmtId="0" fontId="3" fillId="8" borderId="26" xfId="1" applyFont="1" applyFill="1" applyBorder="1" applyAlignment="1" applyProtection="1">
      <alignment horizontal="left" vertical="center" wrapText="1" indent="1"/>
    </xf>
    <xf numFmtId="0" fontId="1" fillId="3" borderId="10" xfId="0" applyFont="1" applyFill="1" applyBorder="1" applyProtection="1"/>
    <xf numFmtId="0" fontId="1" fillId="3" borderId="4" xfId="0" applyFont="1" applyFill="1" applyBorder="1" applyProtection="1"/>
    <xf numFmtId="0" fontId="1" fillId="3" borderId="4" xfId="0" applyFont="1" applyFill="1" applyBorder="1" applyAlignment="1" applyProtection="1">
      <alignment wrapText="1"/>
    </xf>
    <xf numFmtId="0" fontId="18" fillId="0" borderId="1" xfId="0" applyFont="1" applyBorder="1" applyAlignment="1" applyProtection="1">
      <alignment horizontal="left" wrapText="1" indent="1"/>
    </xf>
    <xf numFmtId="0" fontId="4" fillId="0" borderId="0" xfId="0" applyFont="1" applyBorder="1" applyAlignment="1" applyProtection="1">
      <alignment horizontal="left" wrapText="1" indent="1"/>
    </xf>
    <xf numFmtId="0" fontId="1" fillId="0" borderId="0" xfId="0" applyFont="1" applyBorder="1" applyAlignment="1" applyProtection="1">
      <alignment horizontal="left" wrapText="1" indent="1"/>
    </xf>
    <xf numFmtId="0" fontId="31" fillId="0" borderId="0" xfId="0" applyFont="1" applyBorder="1" applyAlignment="1" applyProtection="1">
      <alignment horizontal="left" wrapText="1" indent="1"/>
    </xf>
    <xf numFmtId="49" fontId="1" fillId="0" borderId="0" xfId="0" applyNumberFormat="1" applyFont="1" applyBorder="1" applyAlignment="1" applyProtection="1">
      <alignment horizontal="left" wrapText="1" indent="1"/>
    </xf>
    <xf numFmtId="49" fontId="1" fillId="0" borderId="2" xfId="0" applyNumberFormat="1" applyFont="1" applyBorder="1" applyAlignment="1" applyProtection="1">
      <alignment horizontal="left" wrapText="1" indent="1"/>
    </xf>
    <xf numFmtId="0" fontId="19" fillId="7" borderId="1" xfId="0" applyFont="1" applyFill="1" applyBorder="1" applyAlignment="1" applyProtection="1">
      <alignment horizontal="center" vertical="center" wrapText="1"/>
    </xf>
    <xf numFmtId="0" fontId="1" fillId="7" borderId="0" xfId="0" applyFont="1" applyFill="1" applyBorder="1" applyAlignment="1" applyProtection="1">
      <alignment horizontal="center" vertical="center" wrapText="1"/>
    </xf>
    <xf numFmtId="49" fontId="6" fillId="7" borderId="0" xfId="0" applyNumberFormat="1" applyFont="1" applyFill="1" applyBorder="1" applyAlignment="1" applyProtection="1">
      <alignment horizontal="center" vertical="center" wrapText="1"/>
    </xf>
    <xf numFmtId="49" fontId="6" fillId="7" borderId="2" xfId="0" applyNumberFormat="1" applyFont="1" applyFill="1" applyBorder="1" applyAlignment="1" applyProtection="1">
      <alignment horizontal="center" vertical="center" wrapText="1"/>
    </xf>
    <xf numFmtId="0" fontId="1" fillId="2" borderId="0" xfId="0" applyFont="1" applyFill="1" applyBorder="1" applyAlignment="1" applyProtection="1">
      <alignment horizontal="center" vertical="center"/>
    </xf>
    <xf numFmtId="0" fontId="1" fillId="2" borderId="0" xfId="0" applyFont="1" applyFill="1" applyBorder="1" applyAlignment="1" applyProtection="1">
      <alignment horizontal="center" vertical="center" wrapText="1"/>
    </xf>
    <xf numFmtId="49" fontId="1" fillId="2" borderId="2" xfId="0" applyNumberFormat="1" applyFont="1" applyFill="1" applyBorder="1" applyAlignment="1" applyProtection="1">
      <alignment horizontal="center" vertical="center"/>
    </xf>
    <xf numFmtId="49" fontId="1" fillId="6" borderId="56" xfId="0" applyNumberFormat="1" applyFont="1" applyFill="1" applyBorder="1" applyAlignment="1" applyProtection="1">
      <alignment horizontal="left" vertical="center" wrapText="1" indent="1"/>
      <protection locked="0"/>
    </xf>
    <xf numFmtId="0" fontId="1" fillId="6" borderId="13" xfId="0" applyNumberFormat="1" applyFont="1" applyFill="1" applyBorder="1" applyAlignment="1" applyProtection="1">
      <alignment horizontal="left" vertical="center" wrapText="1" indent="1"/>
      <protection locked="0"/>
    </xf>
    <xf numFmtId="0" fontId="1" fillId="6" borderId="13" xfId="0" applyNumberFormat="1" applyFont="1" applyFill="1" applyBorder="1" applyAlignment="1" applyProtection="1">
      <alignment horizontal="center" vertical="center" wrapText="1"/>
      <protection locked="0"/>
    </xf>
    <xf numFmtId="49" fontId="1" fillId="6" borderId="57" xfId="0" applyNumberFormat="1" applyFont="1" applyFill="1" applyBorder="1" applyAlignment="1" applyProtection="1">
      <alignment vertical="center" wrapText="1"/>
      <protection locked="0"/>
    </xf>
    <xf numFmtId="49" fontId="1" fillId="6" borderId="13" xfId="0" applyNumberFormat="1" applyFont="1" applyFill="1" applyBorder="1" applyAlignment="1" applyProtection="1">
      <alignment vertical="center" wrapText="1"/>
      <protection locked="0"/>
    </xf>
    <xf numFmtId="49" fontId="1" fillId="6" borderId="13" xfId="0" applyNumberFormat="1" applyFont="1" applyFill="1" applyBorder="1" applyAlignment="1" applyProtection="1">
      <alignment horizontal="left" vertical="center" wrapText="1"/>
      <protection locked="0"/>
    </xf>
    <xf numFmtId="0" fontId="1" fillId="7" borderId="3" xfId="0" applyFont="1" applyFill="1" applyBorder="1" applyAlignment="1" applyProtection="1">
      <alignment horizontal="center" vertical="center" wrapText="1"/>
    </xf>
    <xf numFmtId="0" fontId="1" fillId="10" borderId="8" xfId="0" applyFont="1" applyFill="1" applyBorder="1" applyAlignment="1" applyProtection="1">
      <alignment horizontal="center" vertical="center"/>
    </xf>
    <xf numFmtId="0" fontId="1" fillId="6" borderId="14" xfId="0" applyNumberFormat="1" applyFont="1" applyFill="1" applyBorder="1" applyAlignment="1" applyProtection="1">
      <alignment horizontal="left" vertical="center" wrapText="1" indent="1"/>
      <protection locked="0"/>
    </xf>
    <xf numFmtId="0" fontId="1" fillId="6" borderId="14" xfId="0" applyNumberFormat="1" applyFont="1" applyFill="1" applyBorder="1" applyAlignment="1" applyProtection="1">
      <alignment horizontal="center" vertical="center" wrapText="1"/>
      <protection locked="0"/>
    </xf>
    <xf numFmtId="49" fontId="1" fillId="6" borderId="58" xfId="0" applyNumberFormat="1" applyFont="1" applyFill="1" applyBorder="1" applyAlignment="1" applyProtection="1">
      <alignment vertical="center" wrapText="1"/>
      <protection locked="0"/>
    </xf>
    <xf numFmtId="49" fontId="1" fillId="6" borderId="14" xfId="0" applyNumberFormat="1" applyFont="1" applyFill="1" applyBorder="1" applyAlignment="1" applyProtection="1">
      <alignment vertical="center" wrapText="1"/>
      <protection locked="0"/>
    </xf>
    <xf numFmtId="49" fontId="1" fillId="6" borderId="14" xfId="0" applyNumberFormat="1" applyFont="1" applyFill="1" applyBorder="1" applyAlignment="1" applyProtection="1">
      <alignment horizontal="left" vertical="center" wrapText="1"/>
      <protection locked="0"/>
    </xf>
    <xf numFmtId="49" fontId="1" fillId="6" borderId="56" xfId="0" applyNumberFormat="1" applyFont="1" applyFill="1" applyBorder="1" applyAlignment="1" applyProtection="1">
      <alignment vertical="center" wrapText="1"/>
      <protection locked="0"/>
    </xf>
    <xf numFmtId="49" fontId="1" fillId="6" borderId="23" xfId="0" applyNumberFormat="1" applyFont="1" applyFill="1" applyBorder="1" applyAlignment="1" applyProtection="1">
      <alignment horizontal="left" vertical="center" wrapText="1" indent="1"/>
      <protection locked="0"/>
    </xf>
    <xf numFmtId="0" fontId="1" fillId="6" borderId="15" xfId="0" applyNumberFormat="1" applyFont="1" applyFill="1" applyBorder="1" applyAlignment="1" applyProtection="1">
      <alignment horizontal="left" vertical="center" wrapText="1" indent="1"/>
      <protection locked="0"/>
    </xf>
    <xf numFmtId="0" fontId="1" fillId="6" borderId="15" xfId="0" applyNumberFormat="1" applyFont="1" applyFill="1" applyBorder="1" applyAlignment="1" applyProtection="1">
      <alignment horizontal="center" vertical="center" wrapText="1"/>
      <protection locked="0"/>
    </xf>
    <xf numFmtId="49" fontId="1" fillId="6" borderId="59" xfId="0" applyNumberFormat="1" applyFont="1" applyFill="1" applyBorder="1" applyAlignment="1" applyProtection="1">
      <alignment vertical="center" wrapText="1"/>
      <protection locked="0"/>
    </xf>
    <xf numFmtId="49" fontId="1" fillId="6" borderId="15" xfId="0" applyNumberFormat="1" applyFont="1" applyFill="1" applyBorder="1" applyAlignment="1" applyProtection="1">
      <alignment vertical="center" wrapText="1"/>
      <protection locked="0"/>
    </xf>
    <xf numFmtId="49" fontId="1" fillId="6" borderId="23" xfId="0" applyNumberFormat="1" applyFont="1" applyFill="1" applyBorder="1" applyAlignment="1" applyProtection="1">
      <alignment vertical="center" wrapText="1"/>
      <protection locked="0"/>
    </xf>
    <xf numFmtId="0" fontId="3" fillId="0" borderId="1" xfId="0" applyFont="1" applyBorder="1" applyProtection="1"/>
    <xf numFmtId="0" fontId="1" fillId="0" borderId="0" xfId="0" applyFont="1" applyBorder="1" applyProtection="1"/>
    <xf numFmtId="49" fontId="1" fillId="0" borderId="0" xfId="0" applyNumberFormat="1" applyFont="1" applyBorder="1" applyProtection="1"/>
    <xf numFmtId="49" fontId="1" fillId="0" borderId="18" xfId="0" applyNumberFormat="1" applyFont="1" applyBorder="1" applyProtection="1"/>
    <xf numFmtId="0" fontId="1" fillId="3" borderId="0" xfId="0" applyFont="1" applyFill="1" applyBorder="1" applyAlignment="1" applyProtection="1">
      <alignment horizontal="center" vertical="center" wrapText="1"/>
    </xf>
    <xf numFmtId="0" fontId="3" fillId="0" borderId="1" xfId="0" applyFont="1" applyBorder="1" applyAlignment="1" applyProtection="1">
      <alignment vertical="center"/>
    </xf>
    <xf numFmtId="49" fontId="1" fillId="0" borderId="6" xfId="0" applyNumberFormat="1" applyFont="1" applyBorder="1" applyProtection="1"/>
    <xf numFmtId="0" fontId="3" fillId="0" borderId="54" xfId="0" applyFont="1" applyBorder="1" applyProtection="1"/>
    <xf numFmtId="0" fontId="1" fillId="0" borderId="54" xfId="0" applyFont="1" applyBorder="1" applyProtection="1"/>
    <xf numFmtId="0" fontId="1" fillId="0" borderId="8" xfId="0" applyFont="1" applyBorder="1" applyProtection="1"/>
    <xf numFmtId="0" fontId="1" fillId="0" borderId="3" xfId="0" applyFont="1" applyBorder="1" applyProtection="1"/>
    <xf numFmtId="0" fontId="1" fillId="0" borderId="9" xfId="0" applyFont="1" applyBorder="1" applyProtection="1"/>
    <xf numFmtId="49" fontId="1" fillId="0" borderId="12" xfId="0" applyNumberFormat="1" applyFont="1" applyBorder="1" applyProtection="1"/>
    <xf numFmtId="49" fontId="3" fillId="0" borderId="60" xfId="0" applyNumberFormat="1" applyFont="1" applyBorder="1" applyProtection="1"/>
    <xf numFmtId="49" fontId="1" fillId="0" borderId="60" xfId="0" applyNumberFormat="1" applyFont="1" applyBorder="1" applyProtection="1"/>
    <xf numFmtId="49" fontId="1" fillId="0" borderId="20" xfId="0" applyNumberFormat="1" applyFont="1" applyBorder="1" applyProtection="1"/>
    <xf numFmtId="49" fontId="1" fillId="0" borderId="21" xfId="0" applyNumberFormat="1" applyFont="1" applyBorder="1" applyProtection="1"/>
    <xf numFmtId="49" fontId="1" fillId="0" borderId="61" xfId="0" applyNumberFormat="1" applyFont="1" applyBorder="1" applyProtection="1"/>
    <xf numFmtId="49" fontId="1" fillId="2" borderId="1" xfId="0" applyNumberFormat="1" applyFont="1" applyFill="1" applyBorder="1" applyAlignment="1" applyProtection="1">
      <alignment horizontal="center" vertical="center"/>
    </xf>
    <xf numFmtId="49" fontId="1" fillId="3" borderId="0" xfId="0" applyNumberFormat="1" applyFont="1" applyFill="1" applyProtection="1"/>
    <xf numFmtId="49" fontId="1" fillId="3" borderId="0" xfId="0" applyNumberFormat="1" applyFont="1" applyFill="1" applyBorder="1" applyAlignment="1" applyProtection="1">
      <alignment horizontal="center" vertical="center" wrapText="1"/>
    </xf>
    <xf numFmtId="49" fontId="1" fillId="3" borderId="4" xfId="0" applyNumberFormat="1" applyFont="1" applyFill="1" applyBorder="1" applyProtection="1"/>
    <xf numFmtId="49" fontId="1" fillId="0" borderId="14" xfId="0" applyNumberFormat="1" applyFont="1" applyBorder="1" applyProtection="1"/>
    <xf numFmtId="49" fontId="1" fillId="0" borderId="62" xfId="0" applyNumberFormat="1" applyFont="1" applyBorder="1" applyProtection="1"/>
    <xf numFmtId="49" fontId="1" fillId="0" borderId="22" xfId="0" applyNumberFormat="1" applyFont="1" applyBorder="1" applyProtection="1"/>
    <xf numFmtId="49" fontId="3" fillId="0" borderId="63" xfId="0" applyNumberFormat="1" applyFont="1" applyBorder="1" applyProtection="1"/>
    <xf numFmtId="49" fontId="1" fillId="0" borderId="63" xfId="0" applyNumberFormat="1" applyFont="1" applyBorder="1" applyProtection="1"/>
    <xf numFmtId="49" fontId="3" fillId="0" borderId="64" xfId="0" applyNumberFormat="1" applyFont="1" applyBorder="1" applyProtection="1"/>
    <xf numFmtId="49" fontId="1" fillId="0" borderId="64" xfId="0" applyNumberFormat="1" applyFont="1" applyBorder="1" applyProtection="1"/>
    <xf numFmtId="49" fontId="1" fillId="0" borderId="65" xfId="0" applyNumberFormat="1" applyFont="1" applyBorder="1" applyProtection="1"/>
    <xf numFmtId="49" fontId="1" fillId="0" borderId="15" xfId="0" applyNumberFormat="1" applyFont="1" applyBorder="1" applyProtection="1"/>
    <xf numFmtId="49" fontId="1" fillId="0" borderId="66" xfId="0" applyNumberFormat="1" applyFont="1" applyBorder="1" applyProtection="1"/>
    <xf numFmtId="0" fontId="17" fillId="0" borderId="1" xfId="0" applyFont="1" applyBorder="1" applyProtection="1"/>
    <xf numFmtId="49" fontId="1" fillId="0" borderId="2" xfId="0" applyNumberFormat="1" applyFont="1" applyBorder="1" applyProtection="1"/>
    <xf numFmtId="49" fontId="1" fillId="6" borderId="14" xfId="0" applyNumberFormat="1" applyFont="1" applyFill="1" applyBorder="1" applyAlignment="1" applyProtection="1">
      <alignment horizontal="left" vertical="center" wrapText="1" indent="1"/>
      <protection locked="0"/>
    </xf>
    <xf numFmtId="49" fontId="1" fillId="6" borderId="15" xfId="0" applyNumberFormat="1" applyFont="1" applyFill="1" applyBorder="1" applyAlignment="1" applyProtection="1">
      <alignment horizontal="left" vertical="center" wrapText="1" indent="1"/>
      <protection locked="0"/>
    </xf>
    <xf numFmtId="0" fontId="1" fillId="3" borderId="12" xfId="0" applyFont="1" applyFill="1" applyBorder="1" applyProtection="1"/>
    <xf numFmtId="0" fontId="17" fillId="3" borderId="0" xfId="0" applyFont="1" applyFill="1" applyProtection="1"/>
    <xf numFmtId="49" fontId="1" fillId="8" borderId="21" xfId="0" applyNumberFormat="1" applyFont="1" applyFill="1" applyBorder="1" applyAlignment="1" applyProtection="1">
      <alignment horizontal="left" vertical="center" wrapText="1" indent="1"/>
    </xf>
    <xf numFmtId="49" fontId="1" fillId="8" borderId="14" xfId="0" applyNumberFormat="1" applyFont="1" applyFill="1" applyBorder="1" applyAlignment="1" applyProtection="1">
      <alignment horizontal="left" vertical="center" wrapText="1" indent="1"/>
    </xf>
    <xf numFmtId="49" fontId="1" fillId="8" borderId="15" xfId="0" applyNumberFormat="1" applyFont="1" applyFill="1" applyBorder="1" applyAlignment="1" applyProtection="1">
      <alignment horizontal="left" vertical="center" wrapText="1" indent="1"/>
    </xf>
    <xf numFmtId="0" fontId="3" fillId="8" borderId="14" xfId="0" applyNumberFormat="1" applyFont="1" applyFill="1" applyBorder="1" applyAlignment="1" applyProtection="1">
      <alignment horizontal="center" vertical="center" wrapText="1"/>
    </xf>
    <xf numFmtId="0" fontId="3" fillId="8" borderId="15" xfId="0" applyNumberFormat="1" applyFont="1" applyFill="1" applyBorder="1" applyAlignment="1" applyProtection="1">
      <alignment horizontal="center" vertical="center" wrapText="1"/>
    </xf>
    <xf numFmtId="0" fontId="3" fillId="3" borderId="0" xfId="1" applyFont="1" applyFill="1" applyBorder="1" applyAlignment="1" applyProtection="1">
      <alignment horizontal="center" vertical="center"/>
    </xf>
    <xf numFmtId="0" fontId="1" fillId="2" borderId="4" xfId="0" applyFont="1" applyFill="1" applyBorder="1" applyAlignment="1" applyProtection="1">
      <alignment horizontal="center" vertical="center" wrapText="1"/>
    </xf>
    <xf numFmtId="0" fontId="3" fillId="10" borderId="0" xfId="1" applyFont="1" applyFill="1" applyBorder="1" applyAlignment="1" applyProtection="1">
      <alignment horizontal="center" vertical="center"/>
    </xf>
    <xf numFmtId="0" fontId="3" fillId="7" borderId="5" xfId="1" applyFont="1" applyFill="1" applyBorder="1" applyProtection="1"/>
    <xf numFmtId="0" fontId="3" fillId="7" borderId="6" xfId="1" applyFont="1" applyFill="1" applyBorder="1" applyProtection="1"/>
    <xf numFmtId="0" fontId="3" fillId="7" borderId="7" xfId="1" applyFont="1" applyFill="1" applyBorder="1" applyProtection="1"/>
    <xf numFmtId="0" fontId="3" fillId="0" borderId="0" xfId="1" applyFont="1" applyFill="1" applyBorder="1" applyAlignment="1" applyProtection="1">
      <alignment horizontal="center" vertical="center" wrapText="1"/>
    </xf>
    <xf numFmtId="0" fontId="14" fillId="11" borderId="0" xfId="1" applyFont="1" applyFill="1" applyBorder="1" applyAlignment="1" applyProtection="1">
      <alignment vertical="top" wrapText="1"/>
    </xf>
    <xf numFmtId="0" fontId="3" fillId="10" borderId="11" xfId="1" applyFont="1" applyFill="1" applyBorder="1" applyAlignment="1" applyProtection="1">
      <alignment horizontal="center" vertical="center"/>
    </xf>
    <xf numFmtId="0" fontId="34" fillId="0" borderId="0" xfId="0" applyFont="1" applyAlignment="1" applyProtection="1">
      <alignment vertical="center"/>
    </xf>
    <xf numFmtId="0" fontId="0" fillId="0" borderId="0" xfId="0" applyProtection="1"/>
    <xf numFmtId="0" fontId="1" fillId="0" borderId="0" xfId="0" applyFont="1" applyAlignment="1" applyProtection="1">
      <alignment vertical="center"/>
    </xf>
    <xf numFmtId="0" fontId="0" fillId="0" borderId="0" xfId="0" applyAlignment="1" applyProtection="1">
      <alignment vertical="center"/>
    </xf>
    <xf numFmtId="0" fontId="20" fillId="4" borderId="9" xfId="0" applyFont="1" applyFill="1" applyBorder="1" applyAlignment="1" applyProtection="1">
      <alignment vertical="center"/>
    </xf>
    <xf numFmtId="0" fontId="35" fillId="7" borderId="1" xfId="0" applyFont="1" applyFill="1" applyBorder="1" applyAlignment="1" applyProtection="1">
      <alignment vertical="center"/>
    </xf>
    <xf numFmtId="0" fontId="35" fillId="7" borderId="0" xfId="0" applyFont="1" applyFill="1" applyBorder="1" applyAlignment="1" applyProtection="1">
      <alignment horizontal="center" vertical="center"/>
    </xf>
    <xf numFmtId="0" fontId="1" fillId="3" borderId="3" xfId="0" applyFont="1" applyFill="1" applyBorder="1" applyAlignment="1" applyProtection="1">
      <alignment horizontal="center" vertical="center" wrapText="1"/>
    </xf>
    <xf numFmtId="0" fontId="1" fillId="3" borderId="8" xfId="0" applyFont="1" applyFill="1" applyBorder="1" applyAlignment="1" applyProtection="1">
      <alignment horizontal="center" vertical="center" wrapText="1"/>
    </xf>
    <xf numFmtId="0" fontId="35" fillId="7" borderId="2" xfId="0" applyFont="1" applyFill="1" applyBorder="1" applyAlignment="1" applyProtection="1">
      <alignment horizontal="center" vertical="center"/>
    </xf>
    <xf numFmtId="0" fontId="1" fillId="10" borderId="13" xfId="0" applyFont="1" applyFill="1" applyBorder="1" applyAlignment="1" applyProtection="1">
      <alignment horizontal="left" vertical="center" wrapText="1"/>
    </xf>
    <xf numFmtId="0" fontId="1" fillId="10" borderId="13" xfId="0" applyFont="1" applyFill="1" applyBorder="1" applyAlignment="1" applyProtection="1">
      <alignment vertical="center" wrapText="1"/>
    </xf>
    <xf numFmtId="0" fontId="1" fillId="10" borderId="14" xfId="0" applyFont="1" applyFill="1" applyBorder="1" applyAlignment="1" applyProtection="1">
      <alignment horizontal="left" vertical="center" wrapText="1"/>
    </xf>
    <xf numFmtId="0" fontId="1" fillId="10" borderId="14" xfId="0" applyFont="1" applyFill="1" applyBorder="1" applyAlignment="1" applyProtection="1">
      <alignment vertical="center" wrapText="1"/>
    </xf>
    <xf numFmtId="0" fontId="1" fillId="10" borderId="15" xfId="0" applyFont="1" applyFill="1" applyBorder="1" applyAlignment="1" applyProtection="1">
      <alignment vertical="center" wrapText="1"/>
    </xf>
    <xf numFmtId="0" fontId="20" fillId="4" borderId="11" xfId="0" applyFont="1" applyFill="1" applyBorder="1" applyAlignment="1" applyProtection="1">
      <alignment vertical="center"/>
    </xf>
    <xf numFmtId="0" fontId="1" fillId="10" borderId="14" xfId="0" applyFont="1" applyFill="1" applyBorder="1" applyAlignment="1" applyProtection="1">
      <alignment horizontal="left" vertical="center"/>
    </xf>
    <xf numFmtId="0" fontId="33" fillId="10" borderId="14" xfId="0" applyFont="1" applyFill="1" applyBorder="1" applyAlignment="1" applyProtection="1">
      <alignment horizontal="left" vertical="center"/>
    </xf>
    <xf numFmtId="0" fontId="35" fillId="7" borderId="2" xfId="0" applyFont="1" applyFill="1" applyBorder="1" applyAlignment="1" applyProtection="1">
      <alignment vertical="center"/>
    </xf>
    <xf numFmtId="0" fontId="33" fillId="10" borderId="15" xfId="0" applyFont="1" applyFill="1" applyBorder="1" applyAlignment="1" applyProtection="1">
      <alignment horizontal="left" vertical="center"/>
    </xf>
    <xf numFmtId="0" fontId="1" fillId="10" borderId="15" xfId="0" applyFont="1" applyFill="1" applyBorder="1" applyAlignment="1" applyProtection="1">
      <alignment horizontal="left" vertical="center" wrapText="1"/>
    </xf>
    <xf numFmtId="0" fontId="1" fillId="10" borderId="21" xfId="0" applyFont="1" applyFill="1" applyBorder="1" applyAlignment="1" applyProtection="1">
      <alignment horizontal="left" vertical="center" wrapText="1"/>
    </xf>
    <xf numFmtId="0" fontId="36" fillId="0" borderId="3" xfId="0" applyFont="1" applyBorder="1" applyProtection="1"/>
    <xf numFmtId="0" fontId="1" fillId="10" borderId="3" xfId="0" applyFont="1" applyFill="1" applyBorder="1" applyAlignment="1" applyProtection="1">
      <alignment horizontal="left" vertical="center" wrapText="1"/>
    </xf>
    <xf numFmtId="0" fontId="38" fillId="0" borderId="0" xfId="0" applyFont="1" applyFill="1" applyBorder="1" applyAlignment="1" applyProtection="1">
      <alignment vertical="center"/>
    </xf>
    <xf numFmtId="0" fontId="0" fillId="0" borderId="0" xfId="0" applyFill="1" applyAlignment="1" applyProtection="1">
      <alignment vertical="center"/>
    </xf>
    <xf numFmtId="0" fontId="1" fillId="10" borderId="0" xfId="0" applyFont="1" applyFill="1" applyProtection="1"/>
    <xf numFmtId="0" fontId="39" fillId="19" borderId="0" xfId="0" applyFont="1" applyFill="1" applyAlignment="1" applyProtection="1">
      <alignment vertical="center"/>
    </xf>
    <xf numFmtId="0" fontId="28" fillId="0" borderId="0" xfId="0" applyFont="1" applyAlignment="1" applyProtection="1">
      <alignment vertical="center"/>
    </xf>
    <xf numFmtId="0" fontId="39" fillId="4" borderId="0" xfId="0" applyFont="1" applyFill="1" applyAlignment="1" applyProtection="1">
      <alignment vertical="center"/>
    </xf>
    <xf numFmtId="0" fontId="39" fillId="0" borderId="0" xfId="0" applyFont="1" applyFill="1" applyAlignment="1" applyProtection="1">
      <alignment vertical="center"/>
    </xf>
    <xf numFmtId="0" fontId="40" fillId="0" borderId="0" xfId="0" applyFont="1" applyFill="1" applyBorder="1" applyAlignment="1" applyProtection="1">
      <alignment vertical="center"/>
    </xf>
    <xf numFmtId="0" fontId="28" fillId="0" borderId="0" xfId="0" applyFont="1" applyFill="1" applyAlignment="1" applyProtection="1">
      <alignment vertical="center"/>
    </xf>
    <xf numFmtId="0" fontId="41" fillId="3" borderId="0" xfId="0" applyFont="1" applyFill="1" applyAlignment="1" applyProtection="1">
      <alignment vertical="center"/>
    </xf>
    <xf numFmtId="0" fontId="41" fillId="0" borderId="0" xfId="0" applyFont="1" applyFill="1" applyAlignment="1" applyProtection="1">
      <alignment vertical="center"/>
    </xf>
    <xf numFmtId="0" fontId="28" fillId="0" borderId="0" xfId="0" applyFont="1" applyProtection="1"/>
    <xf numFmtId="0" fontId="28" fillId="10" borderId="0" xfId="0" applyFont="1" applyFill="1" applyAlignment="1" applyProtection="1">
      <alignment vertical="center"/>
    </xf>
    <xf numFmtId="0" fontId="28" fillId="0" borderId="0" xfId="0" applyFont="1" applyFill="1" applyProtection="1"/>
    <xf numFmtId="49" fontId="28" fillId="10" borderId="0" xfId="0" applyNumberFormat="1" applyFont="1" applyFill="1" applyAlignment="1" applyProtection="1">
      <alignment vertical="center"/>
    </xf>
    <xf numFmtId="0" fontId="41" fillId="3" borderId="0" xfId="0" applyFont="1" applyFill="1" applyAlignment="1" applyProtection="1">
      <alignment vertical="center"/>
      <protection hidden="1"/>
    </xf>
    <xf numFmtId="0" fontId="14" fillId="0" borderId="0" xfId="1" applyFont="1" applyFill="1" applyBorder="1" applyAlignment="1" applyProtection="1">
      <alignment vertical="top" wrapText="1"/>
    </xf>
    <xf numFmtId="0" fontId="15" fillId="0" borderId="0" xfId="1" applyFont="1" applyFill="1" applyBorder="1" applyAlignment="1" applyProtection="1">
      <alignment vertical="top" wrapText="1"/>
    </xf>
    <xf numFmtId="0" fontId="1" fillId="0" borderId="0" xfId="0" applyFont="1" applyFill="1" applyAlignment="1" applyProtection="1">
      <alignment wrapText="1"/>
    </xf>
    <xf numFmtId="0" fontId="1" fillId="0" borderId="0" xfId="0" applyFont="1" applyFill="1" applyAlignment="1" applyProtection="1">
      <alignment horizontal="center" vertical="center" wrapText="1"/>
    </xf>
    <xf numFmtId="0" fontId="1" fillId="0" borderId="0" xfId="0" applyFont="1" applyFill="1" applyAlignment="1" applyProtection="1">
      <alignment vertical="center" wrapText="1"/>
    </xf>
    <xf numFmtId="0" fontId="1" fillId="0" borderId="0" xfId="0" applyFont="1" applyFill="1" applyProtection="1"/>
    <xf numFmtId="0" fontId="1" fillId="0" borderId="0" xfId="0" applyFont="1" applyFill="1" applyAlignment="1" applyProtection="1">
      <alignment horizontal="center"/>
    </xf>
    <xf numFmtId="0" fontId="1" fillId="0" borderId="0" xfId="0" applyFont="1" applyFill="1" applyAlignment="1" applyProtection="1">
      <alignment vertical="center"/>
    </xf>
    <xf numFmtId="0" fontId="1" fillId="0" borderId="0" xfId="0" applyFont="1" applyFill="1" applyAlignment="1" applyProtection="1">
      <alignment horizontal="center" vertical="center"/>
    </xf>
    <xf numFmtId="0" fontId="6" fillId="0" borderId="0" xfId="0" applyFont="1" applyFill="1" applyProtection="1"/>
    <xf numFmtId="0" fontId="14" fillId="0" borderId="0" xfId="1" applyFont="1" applyFill="1" applyProtection="1"/>
    <xf numFmtId="0" fontId="3" fillId="0" borderId="0" xfId="1" applyFont="1" applyFill="1" applyAlignment="1" applyProtection="1">
      <alignment horizontal="center" vertical="center"/>
    </xf>
    <xf numFmtId="0" fontId="0" fillId="0" borderId="0" xfId="0" applyFill="1" applyProtection="1"/>
    <xf numFmtId="49" fontId="1" fillId="0" borderId="0" xfId="0" applyNumberFormat="1" applyFont="1" applyFill="1" applyProtection="1"/>
    <xf numFmtId="0" fontId="43" fillId="20" borderId="0" xfId="0" applyFont="1" applyFill="1" applyBorder="1" applyAlignment="1" applyProtection="1">
      <alignment vertical="center"/>
    </xf>
    <xf numFmtId="0" fontId="44" fillId="21" borderId="0" xfId="0" applyFont="1" applyFill="1" applyBorder="1" applyAlignment="1" applyProtection="1">
      <alignment vertical="center"/>
    </xf>
    <xf numFmtId="0" fontId="1" fillId="0" borderId="13" xfId="0" applyFont="1" applyFill="1" applyBorder="1" applyAlignment="1" applyProtection="1">
      <alignment horizontal="left" vertical="center" wrapText="1"/>
    </xf>
    <xf numFmtId="0" fontId="1" fillId="2" borderId="1" xfId="5" applyFont="1" applyFill="1" applyBorder="1" applyAlignment="1" applyProtection="1">
      <alignment horizontal="center" vertical="center"/>
    </xf>
    <xf numFmtId="0" fontId="1" fillId="2" borderId="2" xfId="5" applyFont="1" applyFill="1" applyBorder="1" applyAlignment="1" applyProtection="1">
      <alignment horizontal="center" vertical="center"/>
    </xf>
    <xf numFmtId="0" fontId="15" fillId="0" borderId="1" xfId="5" applyFont="1" applyFill="1" applyBorder="1" applyAlignment="1" applyProtection="1">
      <alignment horizontal="left" vertical="center" wrapText="1" indent="1"/>
    </xf>
    <xf numFmtId="0" fontId="15" fillId="0" borderId="0" xfId="5" applyFont="1" applyFill="1" applyBorder="1" applyAlignment="1" applyProtection="1">
      <alignment horizontal="left" vertical="center" wrapText="1" indent="1"/>
    </xf>
    <xf numFmtId="0" fontId="5" fillId="0" borderId="0" xfId="5" applyFont="1" applyFill="1" applyBorder="1" applyAlignment="1" applyProtection="1">
      <alignment horizontal="left" vertical="center" wrapText="1" indent="1"/>
    </xf>
    <xf numFmtId="0" fontId="20" fillId="0" borderId="1" xfId="5" applyFont="1" applyBorder="1" applyAlignment="1" applyProtection="1">
      <alignment horizontal="left" vertical="center" wrapText="1" indent="1"/>
    </xf>
    <xf numFmtId="0" fontId="20" fillId="0" borderId="0" xfId="5" applyFont="1" applyBorder="1" applyAlignment="1" applyProtection="1">
      <alignment horizontal="left" vertical="center" wrapText="1" indent="1"/>
    </xf>
    <xf numFmtId="0" fontId="4" fillId="0" borderId="0" xfId="5" applyFont="1" applyBorder="1" applyAlignment="1" applyProtection="1">
      <alignment horizontal="left" vertical="center" wrapText="1" indent="1"/>
    </xf>
    <xf numFmtId="0" fontId="1" fillId="2" borderId="1" xfId="5" applyFont="1" applyFill="1" applyBorder="1" applyAlignment="1" applyProtection="1">
      <alignment horizontal="center" vertical="center" wrapText="1"/>
    </xf>
    <xf numFmtId="0" fontId="1" fillId="2" borderId="2" xfId="5" applyFont="1" applyFill="1" applyBorder="1" applyAlignment="1" applyProtection="1">
      <alignment horizontal="center" vertical="center" wrapText="1"/>
    </xf>
    <xf numFmtId="0" fontId="6" fillId="7" borderId="1" xfId="5" applyFont="1" applyFill="1" applyBorder="1" applyAlignment="1" applyProtection="1">
      <alignment horizontal="left" vertical="center" wrapText="1" indent="1"/>
    </xf>
    <xf numFmtId="0" fontId="6" fillId="7" borderId="0" xfId="5" applyFont="1" applyFill="1" applyBorder="1" applyAlignment="1" applyProtection="1">
      <alignment horizontal="left" vertical="center" wrapText="1" indent="1"/>
    </xf>
    <xf numFmtId="0" fontId="1" fillId="7" borderId="0" xfId="5" applyFont="1" applyFill="1" applyBorder="1" applyAlignment="1" applyProtection="1">
      <alignment horizontal="left" vertical="center" wrapText="1" indent="1"/>
    </xf>
    <xf numFmtId="0" fontId="1" fillId="2" borderId="0" xfId="5" applyFont="1" applyFill="1" applyBorder="1" applyAlignment="1" applyProtection="1">
      <alignment horizontal="center" vertical="center"/>
    </xf>
    <xf numFmtId="164" fontId="1" fillId="6" borderId="13" xfId="5" applyNumberFormat="1" applyFont="1" applyFill="1" applyBorder="1" applyAlignment="1" applyProtection="1">
      <alignment vertical="center" wrapText="1"/>
      <protection locked="0"/>
    </xf>
    <xf numFmtId="0" fontId="1" fillId="7" borderId="3" xfId="5" applyFont="1" applyFill="1" applyBorder="1" applyAlignment="1" applyProtection="1">
      <alignment horizontal="center" vertical="center" wrapText="1"/>
    </xf>
    <xf numFmtId="164" fontId="1" fillId="6" borderId="14" xfId="5" applyNumberFormat="1" applyFont="1" applyFill="1" applyBorder="1" applyAlignment="1" applyProtection="1">
      <alignment vertical="center" wrapText="1"/>
      <protection locked="0"/>
    </xf>
    <xf numFmtId="164" fontId="1" fillId="6" borderId="15" xfId="5" applyNumberFormat="1" applyFont="1" applyFill="1" applyBorder="1" applyAlignment="1" applyProtection="1">
      <alignment vertical="center" wrapText="1"/>
      <protection locked="0"/>
    </xf>
    <xf numFmtId="164" fontId="1" fillId="6" borderId="15" xfId="5" applyNumberFormat="1" applyFont="1" applyFill="1" applyBorder="1" applyAlignment="1" applyProtection="1">
      <alignment horizontal="center" vertical="center" wrapText="1"/>
      <protection locked="0"/>
    </xf>
    <xf numFmtId="0" fontId="1" fillId="7" borderId="5" xfId="5" applyFont="1" applyFill="1" applyBorder="1" applyAlignment="1" applyProtection="1">
      <alignment horizontal="center" vertical="center" wrapText="1"/>
    </xf>
    <xf numFmtId="0" fontId="1" fillId="7" borderId="6" xfId="5" applyFont="1" applyFill="1" applyBorder="1" applyAlignment="1" applyProtection="1">
      <alignment horizontal="center" vertical="center" wrapText="1"/>
    </xf>
    <xf numFmtId="0" fontId="1" fillId="2" borderId="7" xfId="5" applyFont="1" applyFill="1" applyBorder="1" applyAlignment="1" applyProtection="1">
      <alignment horizontal="center" vertical="center"/>
    </xf>
    <xf numFmtId="166" fontId="1" fillId="6" borderId="13" xfId="5" applyNumberFormat="1" applyFont="1" applyFill="1" applyBorder="1" applyAlignment="1" applyProtection="1">
      <alignment horizontal="center" vertical="center" wrapText="1"/>
      <protection locked="0"/>
    </xf>
    <xf numFmtId="14" fontId="1" fillId="6" borderId="13" xfId="5" applyNumberFormat="1" applyFont="1" applyFill="1" applyBorder="1" applyAlignment="1" applyProtection="1">
      <alignment horizontal="center" vertical="center" wrapText="1"/>
      <protection locked="0"/>
    </xf>
    <xf numFmtId="166" fontId="1" fillId="6" borderId="14" xfId="5" applyNumberFormat="1" applyFont="1" applyFill="1" applyBorder="1" applyAlignment="1" applyProtection="1">
      <alignment horizontal="center" vertical="center" wrapText="1"/>
      <protection locked="0"/>
    </xf>
    <xf numFmtId="14" fontId="1" fillId="6" borderId="14" xfId="5" applyNumberFormat="1" applyFont="1" applyFill="1" applyBorder="1" applyAlignment="1" applyProtection="1">
      <alignment horizontal="center" vertical="center" wrapText="1"/>
      <protection locked="0"/>
    </xf>
    <xf numFmtId="166" fontId="1" fillId="6" borderId="15" xfId="5" applyNumberFormat="1" applyFont="1" applyFill="1" applyBorder="1" applyAlignment="1" applyProtection="1">
      <alignment horizontal="center" vertical="center" wrapText="1"/>
      <protection locked="0"/>
    </xf>
    <xf numFmtId="14" fontId="1" fillId="6" borderId="15" xfId="5" applyNumberFormat="1" applyFont="1" applyFill="1" applyBorder="1" applyAlignment="1" applyProtection="1">
      <alignment horizontal="center" vertical="center" wrapText="1"/>
      <protection locked="0"/>
    </xf>
    <xf numFmtId="0" fontId="1" fillId="0" borderId="1" xfId="5" applyFont="1" applyFill="1" applyBorder="1" applyAlignment="1" applyProtection="1">
      <alignment horizontal="right" vertical="center" wrapText="1"/>
    </xf>
    <xf numFmtId="0" fontId="1" fillId="0" borderId="0" xfId="5" applyFont="1" applyFill="1" applyBorder="1" applyAlignment="1" applyProtection="1">
      <alignment horizontal="right" vertical="center" wrapText="1"/>
    </xf>
    <xf numFmtId="166" fontId="1" fillId="0" borderId="0" xfId="5" applyNumberFormat="1" applyFont="1" applyFill="1" applyBorder="1" applyAlignment="1" applyProtection="1">
      <alignment horizontal="right" vertical="center" wrapText="1"/>
    </xf>
    <xf numFmtId="0" fontId="1" fillId="3" borderId="0" xfId="5" applyFont="1" applyFill="1" applyAlignment="1" applyProtection="1">
      <alignment horizontal="center" vertical="center"/>
    </xf>
    <xf numFmtId="0" fontId="1" fillId="14" borderId="3" xfId="5" applyFont="1" applyFill="1" applyBorder="1" applyAlignment="1" applyProtection="1">
      <alignment horizontal="center" vertical="center" wrapText="1"/>
    </xf>
    <xf numFmtId="0" fontId="1" fillId="14" borderId="8" xfId="5" applyFont="1" applyFill="1" applyBorder="1" applyAlignment="1" applyProtection="1">
      <alignment vertical="center" wrapText="1"/>
    </xf>
    <xf numFmtId="0" fontId="15" fillId="4" borderId="2" xfId="1" applyFont="1" applyFill="1" applyBorder="1" applyAlignment="1" applyProtection="1">
      <alignment vertical="center"/>
    </xf>
    <xf numFmtId="0" fontId="3" fillId="0" borderId="2" xfId="1" applyFont="1" applyFill="1" applyBorder="1" applyAlignment="1" applyProtection="1">
      <alignment horizontal="center" vertical="center" wrapText="1"/>
    </xf>
    <xf numFmtId="0" fontId="14" fillId="7" borderId="2" xfId="1" applyFont="1" applyFill="1" applyBorder="1" applyAlignment="1" applyProtection="1">
      <alignment vertical="top" wrapText="1"/>
    </xf>
    <xf numFmtId="0" fontId="3" fillId="2" borderId="2" xfId="1" applyFont="1" applyFill="1" applyBorder="1" applyAlignment="1" applyProtection="1">
      <alignment horizontal="center" vertical="center" wrapText="1"/>
    </xf>
    <xf numFmtId="49" fontId="3" fillId="6" borderId="3" xfId="1" applyNumberFormat="1" applyFont="1" applyFill="1" applyBorder="1" applyAlignment="1" applyProtection="1">
      <alignment horizontal="left" vertical="top" wrapText="1" indent="1"/>
      <protection locked="0"/>
    </xf>
    <xf numFmtId="0" fontId="1" fillId="0" borderId="3" xfId="0" applyFont="1" applyFill="1" applyBorder="1" applyAlignment="1" applyProtection="1">
      <alignment horizontal="left" vertical="center" wrapText="1"/>
    </xf>
    <xf numFmtId="0" fontId="15" fillId="3" borderId="0" xfId="0" applyFont="1" applyFill="1" applyBorder="1" applyAlignment="1" applyProtection="1">
      <alignment vertical="center" wrapText="1"/>
    </xf>
    <xf numFmtId="167" fontId="3" fillId="0" borderId="13" xfId="0" applyNumberFormat="1" applyFont="1" applyFill="1" applyBorder="1" applyAlignment="1" applyProtection="1">
      <alignment horizontal="left" vertical="center" wrapText="1"/>
    </xf>
    <xf numFmtId="167" fontId="3" fillId="0" borderId="3" xfId="0" applyNumberFormat="1" applyFont="1" applyFill="1" applyBorder="1" applyAlignment="1" applyProtection="1">
      <alignment horizontal="left" vertical="center" wrapText="1"/>
    </xf>
    <xf numFmtId="0" fontId="1" fillId="2" borderId="17" xfId="0" applyFont="1" applyFill="1" applyBorder="1" applyAlignment="1" applyProtection="1">
      <alignment horizontal="center" vertical="center"/>
    </xf>
    <xf numFmtId="0" fontId="1" fillId="2" borderId="10" xfId="0" applyFont="1" applyFill="1" applyBorder="1" applyAlignment="1" applyProtection="1">
      <alignment horizontal="center" vertical="center" wrapText="1"/>
    </xf>
    <xf numFmtId="0" fontId="1" fillId="2" borderId="4" xfId="0" applyFont="1" applyFill="1" applyBorder="1" applyAlignment="1" applyProtection="1">
      <alignment horizontal="center" vertical="center"/>
    </xf>
    <xf numFmtId="0" fontId="1" fillId="6" borderId="13" xfId="5" applyNumberFormat="1" applyFont="1" applyFill="1" applyBorder="1" applyAlignment="1" applyProtection="1">
      <alignment vertical="center" wrapText="1"/>
      <protection locked="0"/>
    </xf>
    <xf numFmtId="0" fontId="1" fillId="6" borderId="14" xfId="5" applyNumberFormat="1" applyFont="1" applyFill="1" applyBorder="1" applyAlignment="1" applyProtection="1">
      <alignment vertical="center" wrapText="1"/>
      <protection locked="0"/>
    </xf>
    <xf numFmtId="0" fontId="1" fillId="6" borderId="15" xfId="5" applyNumberFormat="1" applyFont="1" applyFill="1" applyBorder="1" applyAlignment="1" applyProtection="1">
      <alignment horizontal="center" vertical="center" wrapText="1"/>
      <protection locked="0"/>
    </xf>
    <xf numFmtId="0" fontId="1" fillId="6" borderId="13" xfId="5" applyNumberFormat="1" applyFont="1" applyFill="1" applyBorder="1" applyAlignment="1" applyProtection="1">
      <alignment horizontal="center" vertical="center" wrapText="1"/>
      <protection locked="0"/>
    </xf>
    <xf numFmtId="0" fontId="1" fillId="6" borderId="14" xfId="5" applyNumberFormat="1" applyFont="1" applyFill="1" applyBorder="1" applyAlignment="1" applyProtection="1">
      <alignment horizontal="center" vertical="center" wrapText="1"/>
      <protection locked="0"/>
    </xf>
    <xf numFmtId="0" fontId="1" fillId="6" borderId="15" xfId="5" applyNumberFormat="1" applyFont="1" applyFill="1" applyBorder="1" applyAlignment="1" applyProtection="1">
      <alignment vertical="center" wrapText="1"/>
      <protection locked="0"/>
    </xf>
    <xf numFmtId="1" fontId="1" fillId="2" borderId="2" xfId="5" applyNumberFormat="1" applyFont="1" applyFill="1" applyBorder="1" applyAlignment="1" applyProtection="1">
      <alignment horizontal="center" vertical="center"/>
    </xf>
    <xf numFmtId="0" fontId="1" fillId="2" borderId="2" xfId="5" applyNumberFormat="1" applyFont="1" applyFill="1" applyBorder="1" applyAlignment="1" applyProtection="1">
      <alignment horizontal="center" vertical="center"/>
    </xf>
    <xf numFmtId="0" fontId="1" fillId="2" borderId="6" xfId="5" applyFont="1" applyFill="1" applyBorder="1" applyAlignment="1" applyProtection="1">
      <alignment vertical="center"/>
    </xf>
    <xf numFmtId="0" fontId="1" fillId="2" borderId="7" xfId="5" applyFont="1" applyFill="1" applyBorder="1" applyAlignment="1" applyProtection="1">
      <alignment vertical="center"/>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4" fillId="15" borderId="10" xfId="0" applyFont="1" applyFill="1" applyBorder="1" applyAlignment="1" applyProtection="1">
      <alignment horizontal="center" vertical="center" wrapText="1"/>
    </xf>
    <xf numFmtId="0" fontId="5" fillId="10" borderId="2" xfId="0" applyFont="1" applyFill="1" applyBorder="1" applyAlignment="1" applyProtection="1">
      <alignment horizontal="left" vertical="center" wrapText="1" indent="1"/>
    </xf>
    <xf numFmtId="0" fontId="1" fillId="2" borderId="16" xfId="0" applyFont="1" applyFill="1" applyBorder="1" applyAlignment="1" applyProtection="1">
      <alignment horizontal="center" vertical="center"/>
    </xf>
    <xf numFmtId="0" fontId="1" fillId="2" borderId="18" xfId="0" applyFont="1" applyFill="1" applyBorder="1" applyAlignment="1" applyProtection="1">
      <alignment horizontal="center" vertical="center"/>
    </xf>
    <xf numFmtId="0" fontId="1" fillId="2"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8" borderId="14" xfId="0" applyFont="1" applyFill="1" applyBorder="1" applyAlignment="1" applyProtection="1">
      <alignment horizontal="left" vertical="center" wrapText="1" indent="1"/>
    </xf>
    <xf numFmtId="0" fontId="3" fillId="15" borderId="10" xfId="0" applyFont="1" applyFill="1" applyBorder="1" applyAlignment="1" applyProtection="1">
      <alignment horizontal="center" vertical="center" wrapText="1"/>
    </xf>
    <xf numFmtId="0" fontId="20" fillId="3" borderId="0" xfId="5" applyFont="1" applyFill="1" applyBorder="1" applyAlignment="1" applyProtection="1">
      <alignment horizontal="center" vertical="center" wrapText="1"/>
    </xf>
    <xf numFmtId="0" fontId="22" fillId="4" borderId="5" xfId="5" applyFont="1" applyFill="1" applyBorder="1" applyAlignment="1" applyProtection="1">
      <alignment horizontal="center" vertical="center"/>
    </xf>
    <xf numFmtId="0" fontId="22" fillId="4" borderId="6" xfId="5" applyFont="1" applyFill="1" applyBorder="1" applyAlignment="1" applyProtection="1">
      <alignment horizontal="center" vertical="center"/>
    </xf>
    <xf numFmtId="0" fontId="1" fillId="4" borderId="10" xfId="5" applyFont="1" applyFill="1" applyBorder="1" applyAlignment="1" applyProtection="1">
      <alignment horizontal="center" vertical="center"/>
    </xf>
    <xf numFmtId="0" fontId="1" fillId="4" borderId="12" xfId="5" applyFont="1" applyFill="1" applyBorder="1" applyAlignment="1" applyProtection="1">
      <alignment horizontal="center" vertical="center"/>
    </xf>
    <xf numFmtId="0" fontId="1" fillId="4" borderId="10" xfId="5" applyFont="1" applyFill="1" applyBorder="1" applyAlignment="1" applyProtection="1">
      <alignment horizontal="center" vertical="center" wrapText="1"/>
    </xf>
    <xf numFmtId="0" fontId="1" fillId="4" borderId="12" xfId="5" applyFont="1" applyFill="1" applyBorder="1" applyAlignment="1" applyProtection="1">
      <alignment horizontal="center" vertical="center" wrapText="1"/>
    </xf>
    <xf numFmtId="0" fontId="1" fillId="14" borderId="8" xfId="5" applyFont="1" applyFill="1" applyBorder="1" applyAlignment="1" applyProtection="1">
      <alignment horizontal="center" vertical="center" wrapText="1"/>
    </xf>
    <xf numFmtId="0" fontId="1" fillId="14" borderId="11" xfId="5" applyFont="1" applyFill="1" applyBorder="1" applyAlignment="1" applyProtection="1">
      <alignment horizontal="center" vertical="center" wrapText="1"/>
    </xf>
    <xf numFmtId="0" fontId="1" fillId="2" borderId="6" xfId="5" applyFont="1" applyFill="1" applyBorder="1" applyAlignment="1" applyProtection="1">
      <alignment horizontal="center" vertical="center"/>
    </xf>
    <xf numFmtId="0" fontId="5" fillId="0" borderId="1" xfId="1" applyFont="1" applyFill="1" applyBorder="1" applyAlignment="1" applyProtection="1">
      <alignment horizontal="left" vertical="center" wrapText="1" indent="1"/>
    </xf>
    <xf numFmtId="0" fontId="5" fillId="0" borderId="0" xfId="1" applyFont="1" applyFill="1" applyBorder="1" applyAlignment="1" applyProtection="1">
      <alignment horizontal="left" vertical="center" wrapText="1" indent="1"/>
    </xf>
    <xf numFmtId="0" fontId="5" fillId="0" borderId="2" xfId="1" applyFont="1" applyFill="1" applyBorder="1" applyAlignment="1" applyProtection="1">
      <alignment horizontal="left" vertical="center" wrapText="1" indent="1"/>
    </xf>
    <xf numFmtId="49" fontId="3" fillId="6" borderId="22" xfId="1" applyNumberFormat="1" applyFont="1" applyFill="1" applyBorder="1" applyAlignment="1" applyProtection="1">
      <alignment horizontal="left" vertical="center" indent="1"/>
      <protection locked="0"/>
    </xf>
    <xf numFmtId="0" fontId="5" fillId="15" borderId="8" xfId="1" applyFont="1" applyFill="1" applyBorder="1" applyAlignment="1" applyProtection="1">
      <alignment horizontal="center" vertical="center"/>
    </xf>
    <xf numFmtId="49" fontId="3" fillId="6" borderId="19" xfId="1" applyNumberFormat="1" applyFont="1" applyFill="1" applyBorder="1" applyAlignment="1" applyProtection="1">
      <alignment horizontal="left" vertical="center" indent="1"/>
      <protection locked="0"/>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6" borderId="13" xfId="0" applyFont="1" applyFill="1" applyBorder="1" applyAlignment="1" applyProtection="1">
      <alignment horizontal="left" vertical="center" wrapText="1" indent="1"/>
    </xf>
    <xf numFmtId="0" fontId="1" fillId="6" borderId="13" xfId="0" applyFont="1" applyFill="1" applyBorder="1" applyAlignment="1" applyProtection="1">
      <alignment vertical="center" wrapText="1"/>
    </xf>
    <xf numFmtId="1" fontId="3" fillId="6" borderId="13" xfId="0" applyNumberFormat="1" applyFont="1" applyFill="1" applyBorder="1" applyAlignment="1" applyProtection="1">
      <alignment vertical="center" wrapText="1"/>
    </xf>
    <xf numFmtId="0" fontId="1" fillId="6" borderId="14" xfId="0" applyFont="1" applyFill="1" applyBorder="1" applyAlignment="1" applyProtection="1">
      <alignment horizontal="left" vertical="center" wrapText="1" indent="1"/>
    </xf>
    <xf numFmtId="0" fontId="1" fillId="6" borderId="14" xfId="0" applyFont="1" applyFill="1" applyBorder="1" applyAlignment="1" applyProtection="1">
      <alignment vertical="center" wrapText="1"/>
    </xf>
    <xf numFmtId="1" fontId="3" fillId="6" borderId="14" xfId="0" applyNumberFormat="1" applyFont="1" applyFill="1" applyBorder="1" applyAlignment="1" applyProtection="1">
      <alignment vertical="center" wrapText="1"/>
    </xf>
    <xf numFmtId="0" fontId="1" fillId="8" borderId="10" xfId="0" applyFont="1" applyFill="1" applyBorder="1" applyAlignment="1" applyProtection="1">
      <alignment vertical="center" wrapText="1"/>
    </xf>
    <xf numFmtId="0" fontId="1" fillId="8" borderId="13" xfId="0" applyFont="1" applyFill="1" applyBorder="1" applyAlignment="1" applyProtection="1">
      <alignment vertical="center" wrapText="1"/>
    </xf>
    <xf numFmtId="1" fontId="3" fillId="8" borderId="13" xfId="0" applyNumberFormat="1" applyFont="1" applyFill="1" applyBorder="1" applyAlignment="1" applyProtection="1">
      <alignment vertical="center" wrapText="1"/>
    </xf>
    <xf numFmtId="0" fontId="1" fillId="8" borderId="14" xfId="0" applyFont="1" applyFill="1" applyBorder="1" applyAlignment="1" applyProtection="1">
      <alignment vertical="center" wrapText="1"/>
    </xf>
    <xf numFmtId="1" fontId="3" fillId="8" borderId="14" xfId="0" applyNumberFormat="1" applyFont="1" applyFill="1" applyBorder="1" applyAlignment="1" applyProtection="1">
      <alignment vertical="center" wrapText="1"/>
    </xf>
    <xf numFmtId="1" fontId="1" fillId="6" borderId="13" xfId="0" applyNumberFormat="1" applyFont="1" applyFill="1" applyBorder="1" applyAlignment="1" applyProtection="1">
      <alignment vertical="center" wrapText="1"/>
    </xf>
    <xf numFmtId="1" fontId="1" fillId="6" borderId="14" xfId="0" applyNumberFormat="1" applyFont="1" applyFill="1" applyBorder="1" applyAlignment="1" applyProtection="1">
      <alignment vertical="center" wrapText="1"/>
    </xf>
    <xf numFmtId="0" fontId="45" fillId="0" borderId="0" xfId="0" applyFont="1" applyProtection="1"/>
    <xf numFmtId="0" fontId="10" fillId="0" borderId="0" xfId="0" applyFont="1" applyProtection="1"/>
    <xf numFmtId="0" fontId="46" fillId="0" borderId="0" xfId="5" applyProtection="1"/>
    <xf numFmtId="164" fontId="1" fillId="0" borderId="16" xfId="5" applyNumberFormat="1" applyFont="1" applyFill="1" applyBorder="1" applyAlignment="1" applyProtection="1">
      <alignment horizontal="center" vertical="center" wrapText="1"/>
    </xf>
    <xf numFmtId="164" fontId="1" fillId="0" borderId="17" xfId="5" applyNumberFormat="1" applyFont="1" applyFill="1" applyBorder="1" applyAlignment="1" applyProtection="1">
      <alignment horizontal="center" vertical="center" wrapText="1"/>
    </xf>
    <xf numFmtId="164" fontId="1" fillId="0" borderId="0" xfId="5" applyNumberFormat="1" applyFont="1" applyFill="1" applyBorder="1" applyAlignment="1" applyProtection="1">
      <alignment vertical="center" wrapText="1"/>
    </xf>
    <xf numFmtId="0" fontId="20" fillId="0" borderId="0" xfId="0" applyFont="1" applyFill="1" applyBorder="1" applyAlignment="1" applyProtection="1">
      <alignment vertical="center" wrapText="1"/>
    </xf>
    <xf numFmtId="0" fontId="4" fillId="0" borderId="0" xfId="0" applyFont="1" applyFill="1" applyBorder="1" applyAlignment="1" applyProtection="1">
      <alignment vertical="center" wrapText="1"/>
    </xf>
    <xf numFmtId="49" fontId="3" fillId="6" borderId="15" xfId="2" applyNumberFormat="1" applyFont="1" applyFill="1" applyBorder="1" applyAlignment="1" applyProtection="1">
      <alignment horizontal="left" vertical="top" wrapText="1" indent="1"/>
      <protection locked="0"/>
    </xf>
    <xf numFmtId="49" fontId="3" fillId="6" borderId="23" xfId="2" applyNumberFormat="1" applyFont="1" applyFill="1" applyBorder="1" applyAlignment="1" applyProtection="1">
      <alignment horizontal="left" vertical="top" wrapText="1" indent="1"/>
      <protection locked="0"/>
    </xf>
    <xf numFmtId="0" fontId="1" fillId="2" borderId="2" xfId="0" applyFont="1" applyFill="1" applyBorder="1" applyAlignment="1" applyProtection="1">
      <alignment horizontal="center" vertical="center" wrapText="1"/>
    </xf>
    <xf numFmtId="0" fontId="1" fillId="0" borderId="3" xfId="0" applyFont="1" applyFill="1" applyBorder="1" applyAlignment="1" applyProtection="1">
      <alignment vertical="center" wrapText="1"/>
    </xf>
    <xf numFmtId="0" fontId="45" fillId="0" borderId="0" xfId="0" applyFont="1"/>
    <xf numFmtId="0" fontId="47" fillId="0" borderId="0" xfId="0" applyFont="1" applyAlignment="1">
      <alignment horizontal="left" vertical="center" indent="2"/>
    </xf>
    <xf numFmtId="0" fontId="48" fillId="0" borderId="0" xfId="0" applyFont="1"/>
    <xf numFmtId="0" fontId="1" fillId="6" borderId="15" xfId="0" applyFont="1" applyFill="1" applyBorder="1" applyAlignment="1" applyProtection="1">
      <alignment horizontal="left" vertical="center" wrapText="1" indent="1"/>
      <protection locked="0"/>
    </xf>
    <xf numFmtId="0" fontId="1" fillId="6" borderId="15" xfId="0" applyFont="1" applyFill="1" applyBorder="1" applyAlignment="1" applyProtection="1">
      <alignment horizontal="right" vertical="center" wrapText="1"/>
      <protection locked="0"/>
    </xf>
    <xf numFmtId="1" fontId="3" fillId="6" borderId="15" xfId="0" applyNumberFormat="1" applyFont="1" applyFill="1" applyBorder="1" applyAlignment="1" applyProtection="1">
      <alignment horizontal="right" vertical="center" wrapText="1"/>
      <protection locked="0"/>
    </xf>
    <xf numFmtId="0" fontId="1" fillId="0" borderId="15" xfId="0" applyFont="1" applyFill="1" applyBorder="1" applyAlignment="1" applyProtection="1">
      <alignment horizontal="right" vertical="center" wrapText="1" indent="1"/>
    </xf>
    <xf numFmtId="0" fontId="1" fillId="0" borderId="13" xfId="0" applyFont="1" applyFill="1" applyBorder="1" applyAlignment="1" applyProtection="1">
      <alignment vertical="center" wrapText="1"/>
    </xf>
    <xf numFmtId="0" fontId="1" fillId="0" borderId="14" xfId="0" applyFont="1" applyFill="1" applyBorder="1" applyAlignment="1" applyProtection="1">
      <alignment horizontal="left" vertical="center" wrapText="1"/>
    </xf>
    <xf numFmtId="0" fontId="1" fillId="0" borderId="14" xfId="0" applyFont="1" applyFill="1" applyBorder="1" applyAlignment="1" applyProtection="1">
      <alignment vertical="center" wrapText="1"/>
    </xf>
    <xf numFmtId="167" fontId="3" fillId="0" borderId="14" xfId="0" applyNumberFormat="1" applyFont="1" applyFill="1" applyBorder="1" applyAlignment="1" applyProtection="1">
      <alignment horizontal="left" vertical="center" wrapText="1"/>
    </xf>
    <xf numFmtId="0" fontId="1" fillId="0" borderId="15" xfId="0" applyFont="1" applyFill="1" applyBorder="1" applyAlignment="1" applyProtection="1">
      <alignment horizontal="left" vertical="center" wrapText="1"/>
    </xf>
    <xf numFmtId="0" fontId="1" fillId="0" borderId="15" xfId="0" applyFont="1" applyFill="1" applyBorder="1" applyAlignment="1" applyProtection="1">
      <alignment vertical="center" wrapText="1"/>
    </xf>
    <xf numFmtId="167" fontId="3" fillId="0" borderId="15" xfId="0" applyNumberFormat="1" applyFont="1" applyFill="1" applyBorder="1" applyAlignment="1" applyProtection="1">
      <alignment horizontal="left" vertical="center" wrapText="1"/>
    </xf>
    <xf numFmtId="0" fontId="12" fillId="14" borderId="16" xfId="0" applyFont="1" applyFill="1" applyBorder="1" applyAlignment="1" applyProtection="1">
      <alignment vertical="center" wrapText="1"/>
    </xf>
    <xf numFmtId="0" fontId="21" fillId="22" borderId="5" xfId="0" applyFont="1" applyFill="1" applyBorder="1" applyAlignment="1" applyProtection="1">
      <alignment vertical="top" wrapText="1"/>
      <protection locked="0"/>
    </xf>
    <xf numFmtId="0" fontId="5" fillId="15" borderId="3" xfId="0" applyFont="1" applyFill="1" applyBorder="1" applyAlignment="1" applyProtection="1">
      <alignment horizontal="center" vertical="center" wrapText="1"/>
    </xf>
    <xf numFmtId="3" fontId="1" fillId="6" borderId="13" xfId="0" applyNumberFormat="1" applyFont="1" applyFill="1" applyBorder="1" applyAlignment="1" applyProtection="1">
      <alignment vertical="center" wrapText="1"/>
      <protection locked="0"/>
    </xf>
    <xf numFmtId="3" fontId="1" fillId="6" borderId="14" xfId="0" applyNumberFormat="1" applyFont="1" applyFill="1" applyBorder="1" applyAlignment="1" applyProtection="1">
      <alignment vertical="center" wrapText="1"/>
      <protection locked="0"/>
    </xf>
    <xf numFmtId="3" fontId="1" fillId="6" borderId="15" xfId="0" applyNumberFormat="1" applyFont="1" applyFill="1" applyBorder="1" applyAlignment="1" applyProtection="1">
      <alignment vertical="center" wrapText="1"/>
      <protection locked="0"/>
    </xf>
    <xf numFmtId="3" fontId="1" fillId="0" borderId="14" xfId="0" applyNumberFormat="1" applyFont="1" applyFill="1" applyBorder="1" applyAlignment="1" applyProtection="1">
      <alignment horizontal="right" vertical="center" wrapText="1" indent="1"/>
    </xf>
    <xf numFmtId="3" fontId="3" fillId="6" borderId="13" xfId="0" applyNumberFormat="1" applyFont="1" applyFill="1" applyBorder="1" applyAlignment="1" applyProtection="1">
      <alignment horizontal="right" vertical="center" wrapText="1"/>
      <protection locked="0"/>
    </xf>
    <xf numFmtId="3" fontId="1" fillId="0" borderId="13" xfId="0" applyNumberFormat="1" applyFont="1" applyFill="1" applyBorder="1" applyAlignment="1" applyProtection="1">
      <alignment horizontal="right" vertical="center" wrapText="1"/>
    </xf>
    <xf numFmtId="3" fontId="3" fillId="6" borderId="14" xfId="0" applyNumberFormat="1" applyFont="1" applyFill="1" applyBorder="1" applyAlignment="1" applyProtection="1">
      <alignment horizontal="right" vertical="center" wrapText="1"/>
      <protection locked="0"/>
    </xf>
    <xf numFmtId="3" fontId="1" fillId="0" borderId="14" xfId="0" applyNumberFormat="1" applyFont="1" applyFill="1" applyBorder="1" applyAlignment="1" applyProtection="1">
      <alignment horizontal="right" vertical="center" wrapText="1"/>
    </xf>
    <xf numFmtId="3" fontId="3" fillId="6" borderId="15" xfId="0" applyNumberFormat="1" applyFont="1" applyFill="1" applyBorder="1" applyAlignment="1" applyProtection="1">
      <alignment horizontal="right" vertical="center" wrapText="1"/>
      <protection locked="0"/>
    </xf>
    <xf numFmtId="3" fontId="1" fillId="0" borderId="15" xfId="0" applyNumberFormat="1" applyFont="1" applyFill="1" applyBorder="1" applyAlignment="1" applyProtection="1">
      <alignment horizontal="right" vertical="center" wrapText="1"/>
    </xf>
    <xf numFmtId="3" fontId="1" fillId="6" borderId="13" xfId="0" applyNumberFormat="1" applyFont="1" applyFill="1" applyBorder="1" applyAlignment="1" applyProtection="1">
      <alignment horizontal="right" vertical="center" wrapText="1"/>
      <protection locked="0"/>
    </xf>
    <xf numFmtId="3" fontId="1" fillId="6" borderId="14" xfId="0" applyNumberFormat="1" applyFont="1" applyFill="1" applyBorder="1" applyAlignment="1" applyProtection="1">
      <alignment horizontal="right" vertical="center" wrapText="1"/>
      <protection locked="0"/>
    </xf>
    <xf numFmtId="3" fontId="1" fillId="6" borderId="15" xfId="0" applyNumberFormat="1" applyFont="1" applyFill="1" applyBorder="1" applyAlignment="1" applyProtection="1">
      <alignment horizontal="right" vertical="center" wrapText="1"/>
      <protection locked="0"/>
    </xf>
    <xf numFmtId="0" fontId="4" fillId="15" borderId="3" xfId="0" applyFont="1" applyFill="1" applyBorder="1" applyAlignment="1" applyProtection="1">
      <alignment horizontal="center" vertical="center" wrapText="1"/>
    </xf>
    <xf numFmtId="164" fontId="6" fillId="7" borderId="33" xfId="0" applyNumberFormat="1" applyFont="1" applyFill="1" applyBorder="1" applyAlignment="1" applyProtection="1">
      <alignment vertical="center" wrapText="1"/>
    </xf>
    <xf numFmtId="164" fontId="6" fillId="7" borderId="10" xfId="0" applyNumberFormat="1" applyFont="1" applyFill="1" applyBorder="1" applyAlignment="1" applyProtection="1">
      <alignment vertical="center" wrapText="1"/>
    </xf>
    <xf numFmtId="164" fontId="6" fillId="7" borderId="48" xfId="0" applyNumberFormat="1" applyFont="1" applyFill="1" applyBorder="1" applyAlignment="1" applyProtection="1">
      <alignment vertical="center" wrapText="1"/>
    </xf>
    <xf numFmtId="1" fontId="1" fillId="6" borderId="13" xfId="5" applyNumberFormat="1" applyFont="1" applyFill="1" applyBorder="1" applyAlignment="1" applyProtection="1">
      <alignment vertical="center" wrapText="1"/>
      <protection locked="0"/>
    </xf>
    <xf numFmtId="1" fontId="1" fillId="6" borderId="14" xfId="5" applyNumberFormat="1" applyFont="1" applyFill="1" applyBorder="1" applyAlignment="1" applyProtection="1">
      <alignment vertical="center" wrapText="1"/>
      <protection locked="0"/>
    </xf>
    <xf numFmtId="1" fontId="1" fillId="6" borderId="15" xfId="5" applyNumberFormat="1"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 fillId="10" borderId="4" xfId="0" applyFont="1" applyFill="1" applyBorder="1" applyAlignment="1" applyProtection="1">
      <alignment vertical="center" wrapText="1"/>
    </xf>
    <xf numFmtId="0" fontId="1" fillId="6" borderId="4" xfId="0" applyFont="1" applyFill="1" applyBorder="1" applyAlignment="1" applyProtection="1">
      <alignment vertical="center" wrapText="1"/>
      <protection locked="0"/>
    </xf>
    <xf numFmtId="0" fontId="1" fillId="2" borderId="2" xfId="0" applyFont="1" applyFill="1" applyBorder="1" applyAlignment="1" applyProtection="1">
      <alignment horizontal="center" vertical="center" wrapText="1"/>
    </xf>
    <xf numFmtId="0" fontId="15" fillId="10" borderId="1" xfId="1" applyFont="1" applyFill="1" applyBorder="1" applyAlignment="1" applyProtection="1">
      <alignment vertical="center" wrapText="1"/>
    </xf>
    <xf numFmtId="0" fontId="15" fillId="10" borderId="0" xfId="1" applyFont="1" applyFill="1" applyBorder="1" applyAlignment="1" applyProtection="1">
      <alignment vertical="center" wrapText="1"/>
    </xf>
    <xf numFmtId="0" fontId="15" fillId="10" borderId="2" xfId="1" applyFont="1" applyFill="1" applyBorder="1" applyAlignment="1" applyProtection="1">
      <alignment vertical="center" wrapText="1"/>
    </xf>
    <xf numFmtId="0" fontId="3" fillId="7" borderId="16" xfId="0" applyFont="1" applyFill="1" applyBorder="1" applyProtection="1"/>
    <xf numFmtId="0" fontId="1" fillId="7" borderId="17" xfId="0" applyFont="1" applyFill="1" applyBorder="1" applyProtection="1"/>
    <xf numFmtId="49" fontId="1" fillId="7" borderId="17" xfId="0" applyNumberFormat="1" applyFont="1" applyFill="1" applyBorder="1" applyProtection="1"/>
    <xf numFmtId="49" fontId="1" fillId="7" borderId="18" xfId="0" applyNumberFormat="1" applyFont="1" applyFill="1" applyBorder="1" applyProtection="1"/>
    <xf numFmtId="0" fontId="3" fillId="7" borderId="1" xfId="0" applyFont="1" applyFill="1" applyBorder="1" applyAlignment="1" applyProtection="1">
      <alignment vertical="center"/>
    </xf>
    <xf numFmtId="0" fontId="1" fillId="7" borderId="0" xfId="0" applyFont="1" applyFill="1" applyBorder="1" applyProtection="1"/>
    <xf numFmtId="49" fontId="1" fillId="7" borderId="0" xfId="0" applyNumberFormat="1" applyFont="1" applyFill="1" applyBorder="1" applyProtection="1"/>
    <xf numFmtId="0" fontId="3" fillId="7" borderId="54" xfId="0" applyFont="1" applyFill="1" applyBorder="1" applyProtection="1"/>
    <xf numFmtId="0" fontId="1" fillId="7" borderId="54" xfId="0" applyFont="1" applyFill="1" applyBorder="1" applyProtection="1"/>
    <xf numFmtId="0" fontId="1" fillId="7" borderId="8" xfId="0" applyFont="1" applyFill="1" applyBorder="1" applyProtection="1"/>
    <xf numFmtId="0" fontId="1" fillId="7" borderId="3" xfId="0" applyFont="1" applyFill="1" applyBorder="1" applyProtection="1"/>
    <xf numFmtId="0" fontId="1" fillId="7" borderId="9" xfId="0" applyFont="1" applyFill="1" applyBorder="1" applyProtection="1"/>
    <xf numFmtId="49" fontId="3" fillId="7" borderId="60" xfId="0" applyNumberFormat="1" applyFont="1" applyFill="1" applyBorder="1" applyProtection="1"/>
    <xf numFmtId="49" fontId="1" fillId="7" borderId="60" xfId="0" applyNumberFormat="1" applyFont="1" applyFill="1" applyBorder="1" applyProtection="1"/>
    <xf numFmtId="49" fontId="1" fillId="7" borderId="20" xfId="0" applyNumberFormat="1" applyFont="1" applyFill="1" applyBorder="1" applyProtection="1"/>
    <xf numFmtId="49" fontId="1" fillId="7" borderId="21" xfId="0" applyNumberFormat="1" applyFont="1" applyFill="1" applyBorder="1" applyProtection="1"/>
    <xf numFmtId="49" fontId="1" fillId="7" borderId="61" xfId="0" applyNumberFormat="1" applyFont="1" applyFill="1" applyBorder="1" applyProtection="1"/>
    <xf numFmtId="49" fontId="1" fillId="7" borderId="14" xfId="0" applyNumberFormat="1" applyFont="1" applyFill="1" applyBorder="1" applyProtection="1"/>
    <xf numFmtId="49" fontId="1" fillId="7" borderId="62" xfId="0" applyNumberFormat="1" applyFont="1" applyFill="1" applyBorder="1" applyProtection="1"/>
    <xf numFmtId="49" fontId="3" fillId="7" borderId="63" xfId="0" applyNumberFormat="1" applyFont="1" applyFill="1" applyBorder="1" applyProtection="1"/>
    <xf numFmtId="49" fontId="1" fillId="7" borderId="63" xfId="0" applyNumberFormat="1" applyFont="1" applyFill="1" applyBorder="1" applyProtection="1"/>
    <xf numFmtId="49" fontId="1" fillId="7" borderId="22" xfId="0" applyNumberFormat="1" applyFont="1" applyFill="1" applyBorder="1" applyProtection="1"/>
    <xf numFmtId="49" fontId="3" fillId="7" borderId="64" xfId="0" applyNumberFormat="1" applyFont="1" applyFill="1" applyBorder="1" applyProtection="1"/>
    <xf numFmtId="49" fontId="1" fillId="7" borderId="64" xfId="0" applyNumberFormat="1" applyFont="1" applyFill="1" applyBorder="1" applyProtection="1"/>
    <xf numFmtId="49" fontId="1" fillId="7" borderId="65" xfId="0" applyNumberFormat="1" applyFont="1" applyFill="1" applyBorder="1" applyProtection="1"/>
    <xf numFmtId="49" fontId="1" fillId="7" borderId="15" xfId="0" applyNumberFormat="1" applyFont="1" applyFill="1" applyBorder="1" applyProtection="1"/>
    <xf numFmtId="49" fontId="1" fillId="7" borderId="66" xfId="0" applyNumberFormat="1" applyFont="1" applyFill="1" applyBorder="1" applyProtection="1"/>
    <xf numFmtId="0" fontId="17" fillId="7" borderId="1" xfId="0" applyNumberFormat="1" applyFont="1" applyFill="1" applyBorder="1" applyProtection="1"/>
    <xf numFmtId="49" fontId="1" fillId="7" borderId="4" xfId="0" applyNumberFormat="1" applyFont="1" applyFill="1" applyBorder="1" applyProtection="1"/>
    <xf numFmtId="0" fontId="11" fillId="14" borderId="1" xfId="1" applyFont="1" applyFill="1" applyBorder="1" applyAlignment="1" applyProtection="1">
      <alignment horizontal="center" vertical="center" wrapText="1"/>
    </xf>
    <xf numFmtId="0" fontId="11" fillId="14" borderId="0" xfId="1" applyFont="1" applyFill="1" applyBorder="1" applyAlignment="1" applyProtection="1">
      <alignment horizontal="center" vertical="center" wrapText="1"/>
    </xf>
    <xf numFmtId="0" fontId="11" fillId="14" borderId="2" xfId="1" applyFont="1" applyFill="1" applyBorder="1" applyAlignment="1" applyProtection="1">
      <alignment horizontal="center" vertical="center" wrapText="1"/>
    </xf>
    <xf numFmtId="0" fontId="5" fillId="10" borderId="5" xfId="0" applyFont="1" applyFill="1" applyBorder="1" applyAlignment="1" applyProtection="1">
      <alignment horizontal="left" vertical="center" wrapText="1" indent="1"/>
    </xf>
    <xf numFmtId="0" fontId="5" fillId="10" borderId="6" xfId="0" applyFont="1" applyFill="1" applyBorder="1" applyAlignment="1" applyProtection="1">
      <alignment horizontal="left" vertical="center" wrapText="1" indent="1"/>
    </xf>
    <xf numFmtId="0" fontId="5" fillId="10" borderId="7" xfId="0" applyFont="1" applyFill="1" applyBorder="1" applyAlignment="1" applyProtection="1">
      <alignment horizontal="left" vertical="center" wrapText="1" indent="1"/>
    </xf>
    <xf numFmtId="0" fontId="15" fillId="12" borderId="1" xfId="1" applyFont="1" applyFill="1" applyBorder="1" applyAlignment="1" applyProtection="1">
      <alignment horizontal="left" vertical="center" indent="1"/>
    </xf>
    <xf numFmtId="0" fontId="15" fillId="12" borderId="0" xfId="1" applyFont="1" applyFill="1" applyBorder="1" applyAlignment="1" applyProtection="1">
      <alignment horizontal="left" vertical="center" indent="1"/>
    </xf>
    <xf numFmtId="0" fontId="15" fillId="12" borderId="2" xfId="1" applyFont="1" applyFill="1" applyBorder="1" applyAlignment="1" applyProtection="1">
      <alignment horizontal="left" vertical="center" indent="1"/>
    </xf>
    <xf numFmtId="0" fontId="5" fillId="15" borderId="1" xfId="1" applyFont="1" applyFill="1" applyBorder="1" applyAlignment="1" applyProtection="1">
      <alignment horizontal="left" vertical="center"/>
    </xf>
    <xf numFmtId="0" fontId="5" fillId="15" borderId="0" xfId="1" applyFont="1" applyFill="1" applyBorder="1" applyAlignment="1" applyProtection="1">
      <alignment horizontal="left" vertical="center"/>
    </xf>
    <xf numFmtId="0" fontId="5" fillId="15" borderId="2" xfId="1" applyFont="1" applyFill="1" applyBorder="1" applyAlignment="1" applyProtection="1">
      <alignment horizontal="left" vertical="center"/>
    </xf>
    <xf numFmtId="0" fontId="5" fillId="3" borderId="0" xfId="1" applyFont="1" applyFill="1" applyBorder="1" applyAlignment="1" applyProtection="1">
      <alignment horizontal="left" vertical="center" wrapText="1"/>
    </xf>
    <xf numFmtId="0" fontId="5" fillId="3" borderId="2" xfId="1" applyFont="1" applyFill="1" applyBorder="1" applyAlignment="1" applyProtection="1">
      <alignment horizontal="left" vertical="center" wrapText="1"/>
    </xf>
    <xf numFmtId="0" fontId="14" fillId="7" borderId="1" xfId="1" applyFont="1" applyFill="1" applyBorder="1" applyAlignment="1" applyProtection="1">
      <alignment horizontal="center" vertical="top" wrapText="1"/>
    </xf>
    <xf numFmtId="0" fontId="14" fillId="7" borderId="0" xfId="1" applyFont="1" applyFill="1" applyBorder="1" applyAlignment="1" applyProtection="1">
      <alignment horizontal="center" vertical="top" wrapText="1"/>
    </xf>
    <xf numFmtId="2" fontId="5" fillId="15" borderId="7" xfId="1" applyNumberFormat="1" applyFont="1" applyFill="1" applyBorder="1" applyAlignment="1" applyProtection="1">
      <alignment horizontal="left" vertical="center" wrapText="1"/>
    </xf>
    <xf numFmtId="2" fontId="5" fillId="15" borderId="12" xfId="1" applyNumberFormat="1" applyFont="1" applyFill="1" applyBorder="1" applyAlignment="1" applyProtection="1">
      <alignment horizontal="left" vertical="center" wrapText="1"/>
    </xf>
    <xf numFmtId="0" fontId="15" fillId="4" borderId="17" xfId="1" applyFont="1" applyFill="1" applyBorder="1" applyAlignment="1" applyProtection="1">
      <alignment horizontal="left" vertical="center"/>
    </xf>
    <xf numFmtId="0" fontId="15" fillId="4" borderId="18" xfId="1" applyFont="1" applyFill="1" applyBorder="1" applyAlignment="1" applyProtection="1">
      <alignment horizontal="left" vertical="center"/>
    </xf>
    <xf numFmtId="0" fontId="15" fillId="4" borderId="6" xfId="1" applyFont="1" applyFill="1" applyBorder="1" applyAlignment="1" applyProtection="1">
      <alignment horizontal="left" vertical="center"/>
    </xf>
    <xf numFmtId="0" fontId="15" fillId="4" borderId="7" xfId="1" applyFont="1" applyFill="1" applyBorder="1" applyAlignment="1" applyProtection="1">
      <alignment horizontal="left" vertical="center"/>
    </xf>
    <xf numFmtId="0" fontId="15" fillId="3" borderId="1" xfId="1" applyFont="1" applyFill="1" applyBorder="1" applyAlignment="1" applyProtection="1">
      <alignment horizontal="left" vertical="center" indent="1"/>
    </xf>
    <xf numFmtId="0" fontId="15" fillId="3" borderId="0" xfId="1" applyFont="1" applyFill="1" applyBorder="1" applyAlignment="1" applyProtection="1">
      <alignment horizontal="left" vertical="center" indent="1"/>
    </xf>
    <xf numFmtId="49" fontId="3" fillId="6" borderId="20" xfId="1" applyNumberFormat="1" applyFont="1" applyFill="1" applyBorder="1" applyAlignment="1" applyProtection="1">
      <alignment horizontal="left" vertical="center"/>
      <protection locked="0"/>
    </xf>
    <xf numFmtId="49" fontId="3" fillId="6" borderId="61" xfId="1" applyNumberFormat="1" applyFont="1" applyFill="1" applyBorder="1" applyAlignment="1" applyProtection="1">
      <alignment horizontal="left" vertical="center"/>
      <protection locked="0"/>
    </xf>
    <xf numFmtId="49" fontId="3" fillId="6" borderId="67" xfId="1" applyNumberFormat="1" applyFont="1" applyFill="1" applyBorder="1" applyAlignment="1" applyProtection="1">
      <alignment horizontal="left" vertical="center"/>
      <protection locked="0"/>
    </xf>
    <xf numFmtId="49" fontId="3" fillId="6" borderId="65" xfId="1" applyNumberFormat="1" applyFont="1" applyFill="1" applyBorder="1" applyAlignment="1" applyProtection="1">
      <alignment horizontal="left" vertical="center"/>
      <protection locked="0"/>
    </xf>
    <xf numFmtId="49" fontId="3" fillId="6" borderId="66" xfId="1" applyNumberFormat="1" applyFont="1" applyFill="1" applyBorder="1" applyAlignment="1" applyProtection="1">
      <alignment horizontal="left" vertical="center"/>
      <protection locked="0"/>
    </xf>
    <xf numFmtId="49" fontId="3" fillId="6" borderId="23" xfId="1" applyNumberFormat="1" applyFont="1" applyFill="1" applyBorder="1" applyAlignment="1" applyProtection="1">
      <alignment horizontal="left" vertical="center"/>
      <protection locked="0"/>
    </xf>
    <xf numFmtId="0" fontId="15" fillId="3" borderId="1" xfId="1" applyFont="1" applyFill="1" applyBorder="1" applyAlignment="1" applyProtection="1">
      <alignment horizontal="left" vertical="center" wrapText="1"/>
    </xf>
    <xf numFmtId="0" fontId="15" fillId="3" borderId="0" xfId="1" applyFont="1" applyFill="1" applyBorder="1" applyAlignment="1" applyProtection="1">
      <alignment horizontal="left" vertical="center" wrapText="1"/>
    </xf>
    <xf numFmtId="0" fontId="15" fillId="3" borderId="2" xfId="1" applyFont="1" applyFill="1" applyBorder="1" applyAlignment="1" applyProtection="1">
      <alignment horizontal="left" vertical="center" wrapText="1"/>
    </xf>
    <xf numFmtId="0" fontId="15" fillId="10" borderId="1" xfId="1" applyFont="1" applyFill="1" applyBorder="1" applyAlignment="1" applyProtection="1">
      <alignment horizontal="left" vertical="center" wrapText="1"/>
    </xf>
    <xf numFmtId="0" fontId="15" fillId="10" borderId="0" xfId="1" applyFont="1" applyFill="1" applyBorder="1" applyAlignment="1" applyProtection="1">
      <alignment horizontal="left" vertical="center" wrapText="1"/>
    </xf>
    <xf numFmtId="0" fontId="15" fillId="10" borderId="2" xfId="1" applyFont="1" applyFill="1" applyBorder="1" applyAlignment="1" applyProtection="1">
      <alignment horizontal="left" vertical="center" wrapText="1"/>
    </xf>
    <xf numFmtId="0" fontId="6" fillId="4" borderId="4" xfId="0" applyNumberFormat="1" applyFont="1" applyFill="1" applyBorder="1" applyAlignment="1" applyProtection="1">
      <alignment horizontal="center" vertical="center" wrapText="1"/>
    </xf>
    <xf numFmtId="0" fontId="6" fillId="4" borderId="10" xfId="0" applyNumberFormat="1" applyFont="1" applyFill="1" applyBorder="1" applyAlignment="1" applyProtection="1">
      <alignment horizontal="center" vertical="center" wrapText="1"/>
    </xf>
    <xf numFmtId="0" fontId="6" fillId="4" borderId="4" xfId="0" applyFont="1" applyFill="1" applyBorder="1" applyAlignment="1" applyProtection="1">
      <alignment horizontal="center" vertical="center" wrapText="1"/>
    </xf>
    <xf numFmtId="0" fontId="6" fillId="4" borderId="12" xfId="0" applyFont="1" applyFill="1" applyBorder="1" applyAlignment="1" applyProtection="1">
      <alignment horizontal="center" vertical="center" wrapText="1"/>
    </xf>
    <xf numFmtId="0" fontId="6" fillId="4" borderId="3"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11" xfId="0" applyFont="1" applyFill="1" applyBorder="1" applyAlignment="1" applyProtection="1">
      <alignment horizontal="center" vertical="center" wrapText="1"/>
    </xf>
    <xf numFmtId="0" fontId="20" fillId="3" borderId="1" xfId="0" applyFont="1" applyFill="1" applyBorder="1" applyAlignment="1" applyProtection="1">
      <alignment horizontal="left" vertical="center" wrapText="1"/>
    </xf>
    <xf numFmtId="0" fontId="20" fillId="3" borderId="0" xfId="0" applyFont="1" applyFill="1" applyBorder="1" applyAlignment="1" applyProtection="1">
      <alignment horizontal="left" vertical="center" wrapText="1"/>
    </xf>
    <xf numFmtId="0" fontId="4" fillId="15" borderId="1" xfId="0" applyFont="1" applyFill="1" applyBorder="1" applyAlignment="1" applyProtection="1">
      <alignment horizontal="left" vertical="center" wrapText="1"/>
    </xf>
    <xf numFmtId="0" fontId="4" fillId="15" borderId="0" xfId="0" applyFont="1" applyFill="1" applyBorder="1" applyAlignment="1" applyProtection="1">
      <alignment horizontal="left" vertical="center" wrapText="1"/>
    </xf>
    <xf numFmtId="0" fontId="4" fillId="15" borderId="2" xfId="0" applyFont="1" applyFill="1" applyBorder="1" applyAlignment="1" applyProtection="1">
      <alignment horizontal="left" vertical="center" wrapText="1"/>
    </xf>
    <xf numFmtId="0" fontId="1" fillId="0" borderId="1"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1" fillId="14" borderId="16" xfId="0" applyFont="1" applyFill="1" applyBorder="1" applyAlignment="1" applyProtection="1">
      <alignment horizontal="center" vertical="center" wrapText="1"/>
    </xf>
    <xf numFmtId="0" fontId="11" fillId="14" borderId="17" xfId="0" applyFont="1" applyFill="1" applyBorder="1" applyAlignment="1" applyProtection="1">
      <alignment horizontal="center" vertical="center" wrapText="1"/>
    </xf>
    <xf numFmtId="0" fontId="1" fillId="2" borderId="1" xfId="0" applyFont="1" applyFill="1" applyBorder="1" applyAlignment="1" applyProtection="1">
      <alignment horizontal="center" vertical="center" wrapText="1"/>
    </xf>
    <xf numFmtId="0" fontId="1" fillId="2" borderId="2" xfId="0" applyFont="1" applyFill="1" applyBorder="1" applyAlignment="1" applyProtection="1">
      <alignment horizontal="center" vertical="center" wrapText="1"/>
    </xf>
    <xf numFmtId="0" fontId="15" fillId="3" borderId="1"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wrapText="1"/>
    </xf>
    <xf numFmtId="0" fontId="15" fillId="10" borderId="1" xfId="0" applyFont="1" applyFill="1" applyBorder="1" applyAlignment="1" applyProtection="1">
      <alignment horizontal="left" vertical="center" wrapText="1"/>
    </xf>
    <xf numFmtId="0" fontId="15" fillId="10" borderId="0" xfId="0" applyFont="1" applyFill="1" applyBorder="1" applyAlignment="1" applyProtection="1">
      <alignment horizontal="left" vertical="center" wrapText="1"/>
    </xf>
    <xf numFmtId="0" fontId="15" fillId="0" borderId="1"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2" borderId="8" xfId="0" applyFont="1" applyFill="1" applyBorder="1" applyAlignment="1" applyProtection="1">
      <alignment horizontal="center" vertical="center" wrapText="1"/>
      <protection locked="0"/>
    </xf>
    <xf numFmtId="0" fontId="15" fillId="22" borderId="9" xfId="0" applyFont="1" applyFill="1" applyBorder="1" applyAlignment="1" applyProtection="1">
      <alignment horizontal="center" vertical="center" wrapText="1"/>
      <protection locked="0"/>
    </xf>
    <xf numFmtId="0" fontId="15" fillId="22" borderId="11" xfId="0" applyFont="1" applyFill="1" applyBorder="1" applyAlignment="1" applyProtection="1">
      <alignment horizontal="center" vertical="center" wrapText="1"/>
      <protection locked="0"/>
    </xf>
    <xf numFmtId="0" fontId="1" fillId="2" borderId="5" xfId="0" applyFont="1" applyFill="1" applyBorder="1" applyAlignment="1" applyProtection="1">
      <alignment horizontal="center" vertical="center" wrapText="1"/>
    </xf>
    <xf numFmtId="0" fontId="1" fillId="2" borderId="6" xfId="0" applyFont="1" applyFill="1" applyBorder="1" applyAlignment="1" applyProtection="1">
      <alignment horizontal="center" vertical="center" wrapText="1"/>
    </xf>
    <xf numFmtId="0" fontId="1" fillId="2" borderId="7" xfId="0" applyFont="1" applyFill="1" applyBorder="1" applyAlignment="1" applyProtection="1">
      <alignment horizontal="center" vertical="center" wrapText="1"/>
    </xf>
    <xf numFmtId="0" fontId="1" fillId="0" borderId="1" xfId="0" applyFont="1" applyFill="1" applyBorder="1" applyAlignment="1" applyProtection="1">
      <alignment horizontal="center" wrapText="1"/>
    </xf>
    <xf numFmtId="0" fontId="5" fillId="10" borderId="1" xfId="0" applyFont="1" applyFill="1" applyBorder="1" applyAlignment="1" applyProtection="1">
      <alignment horizontal="left" vertical="center" wrapText="1"/>
    </xf>
    <xf numFmtId="0" fontId="5" fillId="10" borderId="0" xfId="0" applyFont="1" applyFill="1" applyBorder="1" applyAlignment="1" applyProtection="1">
      <alignment horizontal="left" vertical="center" wrapText="1"/>
    </xf>
    <xf numFmtId="0" fontId="6" fillId="0" borderId="5" xfId="0" applyFont="1" applyFill="1" applyBorder="1" applyAlignment="1" applyProtection="1">
      <alignment horizontal="center" vertical="center" wrapText="1"/>
    </xf>
    <xf numFmtId="0" fontId="6" fillId="0" borderId="6" xfId="0" applyFont="1" applyFill="1" applyBorder="1" applyAlignment="1" applyProtection="1">
      <alignment horizontal="center" vertical="center" wrapText="1"/>
    </xf>
    <xf numFmtId="0" fontId="6" fillId="0" borderId="7" xfId="0" applyFont="1" applyFill="1" applyBorder="1" applyAlignment="1" applyProtection="1">
      <alignment horizontal="center" vertical="center" wrapText="1"/>
    </xf>
    <xf numFmtId="0" fontId="7" fillId="15" borderId="8" xfId="0" applyFont="1" applyFill="1" applyBorder="1" applyAlignment="1" applyProtection="1">
      <alignment horizontal="center" vertical="center" wrapText="1"/>
    </xf>
    <xf numFmtId="0" fontId="7" fillId="15" borderId="9" xfId="0" applyFont="1" applyFill="1" applyBorder="1" applyAlignment="1" applyProtection="1">
      <alignment horizontal="center" vertical="center" wrapText="1"/>
    </xf>
    <xf numFmtId="0" fontId="7" fillId="15" borderId="11" xfId="0" applyFont="1" applyFill="1" applyBorder="1" applyAlignment="1" applyProtection="1">
      <alignment horizontal="center" vertical="center" wrapText="1"/>
    </xf>
    <xf numFmtId="0" fontId="4" fillId="15" borderId="10" xfId="0" applyFont="1" applyFill="1" applyBorder="1" applyAlignment="1" applyProtection="1">
      <alignment horizontal="center" vertical="center" wrapText="1"/>
    </xf>
    <xf numFmtId="0" fontId="4" fillId="15" borderId="12" xfId="0" applyFont="1" applyFill="1" applyBorder="1" applyAlignment="1" applyProtection="1">
      <alignment horizontal="center" vertical="center" wrapText="1"/>
    </xf>
    <xf numFmtId="0" fontId="4" fillId="15" borderId="9" xfId="0" applyFont="1" applyFill="1" applyBorder="1" applyAlignment="1" applyProtection="1">
      <alignment horizontal="center" vertical="center" wrapText="1"/>
    </xf>
    <xf numFmtId="0" fontId="4" fillId="15" borderId="11" xfId="0" applyFont="1" applyFill="1" applyBorder="1" applyAlignment="1" applyProtection="1">
      <alignment horizontal="center" vertical="center" wrapText="1"/>
    </xf>
    <xf numFmtId="0" fontId="5" fillId="15" borderId="8" xfId="0" applyFont="1" applyFill="1" applyBorder="1" applyAlignment="1" applyProtection="1">
      <alignment horizontal="center" vertical="center" wrapText="1"/>
    </xf>
    <xf numFmtId="0" fontId="5" fillId="15" borderId="9" xfId="0" applyFont="1" applyFill="1" applyBorder="1" applyAlignment="1" applyProtection="1">
      <alignment horizontal="center" vertical="center" wrapText="1"/>
    </xf>
    <xf numFmtId="0" fontId="5" fillId="15" borderId="11" xfId="0" applyFont="1" applyFill="1" applyBorder="1" applyAlignment="1" applyProtection="1">
      <alignment horizontal="center" vertical="center" wrapText="1"/>
    </xf>
    <xf numFmtId="0" fontId="4" fillId="15" borderId="4" xfId="0" applyFont="1" applyFill="1" applyBorder="1" applyAlignment="1" applyProtection="1">
      <alignment horizontal="center" vertical="center" wrapText="1"/>
    </xf>
    <xf numFmtId="0" fontId="1" fillId="15" borderId="10" xfId="0" applyFont="1" applyFill="1" applyBorder="1" applyAlignment="1" applyProtection="1">
      <alignment horizontal="center" vertical="center" wrapText="1"/>
    </xf>
    <xf numFmtId="0" fontId="1" fillId="15" borderId="4" xfId="0" applyFont="1" applyFill="1" applyBorder="1" applyAlignment="1" applyProtection="1">
      <alignment horizontal="center" vertical="center" wrapText="1"/>
    </xf>
    <xf numFmtId="0" fontId="1" fillId="15" borderId="12" xfId="0" applyFont="1" applyFill="1" applyBorder="1" applyAlignment="1" applyProtection="1">
      <alignment horizontal="center" vertical="center" wrapText="1"/>
    </xf>
    <xf numFmtId="0" fontId="4" fillId="15" borderId="17" xfId="0" applyFont="1" applyFill="1" applyBorder="1" applyAlignment="1" applyProtection="1">
      <alignment horizontal="center" vertical="center" wrapText="1"/>
    </xf>
    <xf numFmtId="0" fontId="4" fillId="15" borderId="18" xfId="0" applyFont="1" applyFill="1" applyBorder="1" applyAlignment="1" applyProtection="1">
      <alignment horizontal="center" vertical="center" wrapText="1"/>
    </xf>
    <xf numFmtId="0" fontId="4" fillId="15" borderId="6" xfId="0" applyFont="1" applyFill="1" applyBorder="1" applyAlignment="1" applyProtection="1">
      <alignment horizontal="center" vertical="center" wrapText="1"/>
    </xf>
    <xf numFmtId="0" fontId="4" fillId="15" borderId="7" xfId="0" applyFont="1" applyFill="1" applyBorder="1" applyAlignment="1" applyProtection="1">
      <alignment horizontal="center" vertical="center" wrapText="1"/>
    </xf>
    <xf numFmtId="0" fontId="5" fillId="15" borderId="3" xfId="0" applyFont="1" applyFill="1" applyBorder="1" applyAlignment="1" applyProtection="1">
      <alignment horizontal="center" vertical="center" wrapText="1"/>
    </xf>
    <xf numFmtId="0" fontId="4" fillId="15" borderId="3" xfId="0" applyFont="1" applyFill="1" applyBorder="1" applyAlignment="1" applyProtection="1">
      <alignment horizontal="center" vertical="center" wrapText="1"/>
    </xf>
    <xf numFmtId="0" fontId="15" fillId="13" borderId="1" xfId="0" applyFont="1" applyFill="1" applyBorder="1" applyAlignment="1" applyProtection="1">
      <alignment horizontal="left" vertical="center" wrapText="1"/>
    </xf>
    <xf numFmtId="0" fontId="15" fillId="13" borderId="0" xfId="0" applyFont="1" applyFill="1" applyBorder="1" applyAlignment="1" applyProtection="1">
      <alignment horizontal="left" vertical="center" wrapText="1"/>
    </xf>
    <xf numFmtId="0" fontId="15" fillId="0" borderId="2" xfId="0" applyFont="1" applyFill="1" applyBorder="1" applyAlignment="1" applyProtection="1">
      <alignment horizontal="center" vertical="center" wrapText="1"/>
    </xf>
    <xf numFmtId="0" fontId="1" fillId="0" borderId="2" xfId="0" applyFont="1" applyBorder="1" applyAlignment="1" applyProtection="1">
      <alignment horizontal="center" vertical="center" wrapText="1"/>
    </xf>
    <xf numFmtId="0" fontId="6" fillId="4" borderId="10" xfId="0" applyFont="1" applyFill="1" applyBorder="1" applyAlignment="1" applyProtection="1">
      <alignment horizontal="center" vertical="center" wrapText="1"/>
    </xf>
    <xf numFmtId="0" fontId="6" fillId="4" borderId="12" xfId="0" applyNumberFormat="1" applyFont="1" applyFill="1" applyBorder="1" applyAlignment="1" applyProtection="1">
      <alignment horizontal="center" vertical="center" wrapText="1"/>
    </xf>
    <xf numFmtId="0" fontId="5" fillId="15" borderId="10" xfId="0" applyFont="1" applyFill="1" applyBorder="1" applyAlignment="1" applyProtection="1">
      <alignment horizontal="center" vertical="center" wrapText="1"/>
    </xf>
    <xf numFmtId="0" fontId="5" fillId="15" borderId="12" xfId="0" applyFont="1" applyFill="1" applyBorder="1" applyAlignment="1" applyProtection="1">
      <alignment horizontal="center" vertical="center" wrapText="1"/>
    </xf>
    <xf numFmtId="0" fontId="11" fillId="14" borderId="18"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wrapText="1"/>
    </xf>
    <xf numFmtId="0" fontId="1" fillId="2" borderId="18" xfId="0" applyFont="1" applyFill="1" applyBorder="1" applyAlignment="1" applyProtection="1">
      <alignment horizontal="center" vertical="center" wrapText="1"/>
    </xf>
    <xf numFmtId="0" fontId="15" fillId="3" borderId="1" xfId="0" applyFont="1" applyFill="1" applyBorder="1" applyAlignment="1" applyProtection="1">
      <alignment horizontal="left" vertical="center" wrapText="1" indent="1"/>
    </xf>
    <xf numFmtId="0" fontId="15" fillId="3" borderId="0" xfId="0" applyFont="1" applyFill="1" applyBorder="1" applyAlignment="1" applyProtection="1">
      <alignment horizontal="left" vertical="center" wrapText="1" indent="1"/>
    </xf>
    <xf numFmtId="0" fontId="15" fillId="3" borderId="2" xfId="0" applyFont="1" applyFill="1" applyBorder="1" applyAlignment="1" applyProtection="1">
      <alignment horizontal="left" vertical="center" wrapText="1" indent="1"/>
    </xf>
    <xf numFmtId="0" fontId="15" fillId="10" borderId="1" xfId="0" applyFont="1" applyFill="1" applyBorder="1" applyAlignment="1" applyProtection="1">
      <alignment horizontal="left" vertical="center" wrapText="1" indent="1"/>
    </xf>
    <xf numFmtId="0" fontId="15" fillId="10" borderId="0" xfId="0" applyFont="1" applyFill="1" applyBorder="1" applyAlignment="1" applyProtection="1">
      <alignment horizontal="left" vertical="center" wrapText="1" indent="1"/>
    </xf>
    <xf numFmtId="0" fontId="15" fillId="10" borderId="2" xfId="0" applyFont="1" applyFill="1" applyBorder="1" applyAlignment="1" applyProtection="1">
      <alignment horizontal="left" vertical="center" wrapText="1" indent="1"/>
    </xf>
    <xf numFmtId="0" fontId="20" fillId="3" borderId="1" xfId="0" applyFont="1" applyFill="1" applyBorder="1" applyAlignment="1" applyProtection="1">
      <alignment horizontal="left" vertical="center" wrapText="1" indent="1"/>
    </xf>
    <xf numFmtId="0" fontId="20" fillId="3" borderId="0" xfId="0" applyFont="1" applyFill="1" applyBorder="1" applyAlignment="1" applyProtection="1">
      <alignment horizontal="left" vertical="center" wrapText="1" indent="1"/>
    </xf>
    <xf numFmtId="0" fontId="20" fillId="3" borderId="2" xfId="0" applyFont="1" applyFill="1" applyBorder="1" applyAlignment="1" applyProtection="1">
      <alignment horizontal="left" vertical="center" wrapText="1" indent="1"/>
    </xf>
    <xf numFmtId="0" fontId="5" fillId="10" borderId="1" xfId="0" applyFont="1" applyFill="1" applyBorder="1" applyAlignment="1" applyProtection="1">
      <alignment horizontal="left" vertical="center" wrapText="1" indent="1"/>
    </xf>
    <xf numFmtId="0" fontId="5" fillId="10" borderId="0" xfId="0" applyFont="1" applyFill="1" applyBorder="1" applyAlignment="1" applyProtection="1">
      <alignment horizontal="left" vertical="center" wrapText="1" indent="1"/>
    </xf>
    <xf numFmtId="0" fontId="5" fillId="10" borderId="2" xfId="0" applyFont="1" applyFill="1" applyBorder="1" applyAlignment="1" applyProtection="1">
      <alignment horizontal="left" vertical="center" wrapText="1" indent="1"/>
    </xf>
    <xf numFmtId="0" fontId="7" fillId="4" borderId="8" xfId="0" applyFont="1" applyFill="1" applyBorder="1" applyAlignment="1" applyProtection="1">
      <alignment horizontal="center" vertical="center"/>
    </xf>
    <xf numFmtId="0" fontId="7" fillId="4" borderId="9" xfId="0" applyFont="1" applyFill="1" applyBorder="1" applyAlignment="1" applyProtection="1">
      <alignment horizontal="center" vertical="center"/>
    </xf>
    <xf numFmtId="0" fontId="7" fillId="4" borderId="11" xfId="0" applyFont="1" applyFill="1" applyBorder="1" applyAlignment="1" applyProtection="1">
      <alignment horizontal="center" vertical="center"/>
    </xf>
    <xf numFmtId="0" fontId="21" fillId="15" borderId="8" xfId="0" applyFont="1" applyFill="1" applyBorder="1" applyAlignment="1" applyProtection="1">
      <alignment horizontal="center" vertical="center" wrapText="1"/>
    </xf>
    <xf numFmtId="0" fontId="21" fillId="15" borderId="9" xfId="0" applyFont="1" applyFill="1" applyBorder="1" applyAlignment="1" applyProtection="1">
      <alignment horizontal="center" vertical="center" wrapText="1"/>
    </xf>
    <xf numFmtId="0" fontId="21" fillId="15" borderId="11" xfId="0" applyFont="1" applyFill="1" applyBorder="1" applyAlignment="1" applyProtection="1">
      <alignment horizontal="center" vertical="center" wrapText="1"/>
    </xf>
    <xf numFmtId="0" fontId="4" fillId="15" borderId="1" xfId="0" applyFont="1" applyFill="1" applyBorder="1" applyAlignment="1" applyProtection="1">
      <alignment horizontal="left" wrapText="1"/>
    </xf>
    <xf numFmtId="0" fontId="4" fillId="15" borderId="0" xfId="0" applyFont="1" applyFill="1" applyBorder="1" applyAlignment="1" applyProtection="1">
      <alignment horizontal="left" wrapText="1"/>
    </xf>
    <xf numFmtId="0" fontId="4" fillId="15" borderId="2" xfId="0" applyFont="1" applyFill="1" applyBorder="1" applyAlignment="1" applyProtection="1">
      <alignment horizontal="left" wrapText="1"/>
    </xf>
    <xf numFmtId="0" fontId="21" fillId="22" borderId="8" xfId="0" applyFont="1" applyFill="1" applyBorder="1" applyAlignment="1" applyProtection="1">
      <alignment horizontal="left" vertical="top" wrapText="1"/>
      <protection locked="0"/>
    </xf>
    <xf numFmtId="0" fontId="21" fillId="22" borderId="9" xfId="0" applyFont="1" applyFill="1" applyBorder="1" applyAlignment="1" applyProtection="1">
      <alignment horizontal="left" vertical="top" wrapText="1"/>
      <protection locked="0"/>
    </xf>
    <xf numFmtId="0" fontId="21" fillId="22" borderId="11" xfId="0" applyFont="1" applyFill="1" applyBorder="1" applyAlignment="1" applyProtection="1">
      <alignment horizontal="left" vertical="top" wrapText="1"/>
      <protection locked="0"/>
    </xf>
    <xf numFmtId="0" fontId="15" fillId="3" borderId="2" xfId="0" applyFont="1" applyFill="1" applyBorder="1" applyAlignment="1" applyProtection="1">
      <alignment horizontal="left" vertical="center" wrapText="1"/>
    </xf>
    <xf numFmtId="0" fontId="15" fillId="10" borderId="2" xfId="0" applyFont="1" applyFill="1" applyBorder="1" applyAlignment="1" applyProtection="1">
      <alignment horizontal="left" vertical="center" wrapText="1"/>
    </xf>
    <xf numFmtId="0" fontId="20" fillId="3" borderId="2" xfId="0" applyFont="1" applyFill="1" applyBorder="1" applyAlignment="1" applyProtection="1">
      <alignment horizontal="left" vertical="center" wrapText="1"/>
    </xf>
    <xf numFmtId="0" fontId="33" fillId="0" borderId="0" xfId="0" applyFont="1" applyBorder="1" applyAlignment="1" applyProtection="1">
      <alignment horizontal="left"/>
    </xf>
    <xf numFmtId="0" fontId="33" fillId="0" borderId="2" xfId="0" applyFont="1" applyBorder="1" applyAlignment="1" applyProtection="1">
      <alignment horizontal="left"/>
    </xf>
    <xf numFmtId="0" fontId="6" fillId="15" borderId="30" xfId="0" applyFont="1" applyFill="1" applyBorder="1" applyAlignment="1" applyProtection="1">
      <alignment horizontal="left" vertical="center" wrapText="1" indent="1"/>
    </xf>
    <xf numFmtId="0" fontId="6" fillId="15" borderId="31" xfId="0" applyFont="1" applyFill="1" applyBorder="1" applyAlignment="1" applyProtection="1">
      <alignment horizontal="left" vertical="center" wrapText="1" indent="1"/>
    </xf>
    <xf numFmtId="0" fontId="6" fillId="15" borderId="32" xfId="0" applyFont="1" applyFill="1" applyBorder="1" applyAlignment="1" applyProtection="1">
      <alignment horizontal="left" vertical="center" wrapText="1" indent="1"/>
    </xf>
    <xf numFmtId="0" fontId="4" fillId="15" borderId="8" xfId="0" applyFont="1" applyFill="1" applyBorder="1" applyAlignment="1" applyProtection="1">
      <alignment horizontal="left" vertical="center" wrapText="1" indent="1"/>
    </xf>
    <xf numFmtId="0" fontId="4" fillId="15" borderId="9" xfId="0" applyFont="1" applyFill="1" applyBorder="1" applyAlignment="1" applyProtection="1">
      <alignment horizontal="left" vertical="center" wrapText="1" indent="1"/>
    </xf>
    <xf numFmtId="0" fontId="4" fillId="15" borderId="11" xfId="0" applyFont="1" applyFill="1" applyBorder="1" applyAlignment="1" applyProtection="1">
      <alignment horizontal="left" vertical="center" wrapText="1" indent="1"/>
    </xf>
    <xf numFmtId="0" fontId="1" fillId="6" borderId="8" xfId="0" applyFont="1" applyFill="1" applyBorder="1" applyAlignment="1" applyProtection="1">
      <alignment horizontal="left" vertical="top" wrapText="1" indent="1"/>
      <protection locked="0"/>
    </xf>
    <xf numFmtId="0" fontId="1" fillId="6" borderId="9" xfId="0" applyFont="1" applyFill="1" applyBorder="1" applyAlignment="1" applyProtection="1">
      <alignment horizontal="left" vertical="top" wrapText="1" indent="1"/>
      <protection locked="0"/>
    </xf>
    <xf numFmtId="0" fontId="1" fillId="6" borderId="11" xfId="0" applyFont="1" applyFill="1" applyBorder="1" applyAlignment="1" applyProtection="1">
      <alignment horizontal="left" vertical="top" wrapText="1" indent="1"/>
      <protection locked="0"/>
    </xf>
    <xf numFmtId="0" fontId="1" fillId="8" borderId="1" xfId="0" applyFont="1" applyFill="1" applyBorder="1" applyAlignment="1" applyProtection="1">
      <alignment horizontal="center" vertical="center" wrapText="1"/>
    </xf>
    <xf numFmtId="0" fontId="1" fillId="8" borderId="2" xfId="0" applyFont="1" applyFill="1" applyBorder="1" applyAlignment="1" applyProtection="1">
      <alignment horizontal="center" vertical="center" wrapText="1"/>
    </xf>
    <xf numFmtId="0" fontId="1" fillId="8" borderId="24" xfId="0" applyFont="1" applyFill="1" applyBorder="1" applyAlignment="1" applyProtection="1">
      <alignment horizontal="center" vertical="center" wrapText="1"/>
    </xf>
    <xf numFmtId="0" fontId="1" fillId="8" borderId="25" xfId="0" applyFont="1" applyFill="1" applyBorder="1" applyAlignment="1" applyProtection="1">
      <alignment horizontal="center" vertical="center" wrapText="1"/>
    </xf>
    <xf numFmtId="0" fontId="6" fillId="15" borderId="1" xfId="0" applyFont="1" applyFill="1" applyBorder="1" applyAlignment="1" applyProtection="1">
      <alignment horizontal="left" vertical="center" wrapText="1" indent="1"/>
    </xf>
    <xf numFmtId="0" fontId="6" fillId="15" borderId="2" xfId="0" applyFont="1" applyFill="1" applyBorder="1" applyAlignment="1" applyProtection="1">
      <alignment horizontal="left" vertical="center" wrapText="1" indent="1"/>
    </xf>
    <xf numFmtId="0" fontId="6" fillId="15" borderId="5" xfId="0" applyFont="1" applyFill="1" applyBorder="1" applyAlignment="1" applyProtection="1">
      <alignment horizontal="left" vertical="center" wrapText="1" indent="1"/>
    </xf>
    <xf numFmtId="0" fontId="6" fillId="15" borderId="7" xfId="0" applyFont="1" applyFill="1" applyBorder="1" applyAlignment="1" applyProtection="1">
      <alignment horizontal="left" vertical="center" wrapText="1" indent="1"/>
    </xf>
    <xf numFmtId="0" fontId="21" fillId="15" borderId="16" xfId="0" applyFont="1" applyFill="1" applyBorder="1" applyAlignment="1" applyProtection="1">
      <alignment horizontal="left" vertical="center" wrapText="1" indent="1"/>
    </xf>
    <xf numFmtId="0" fontId="21" fillId="15" borderId="17" xfId="0" applyFont="1" applyFill="1" applyBorder="1" applyAlignment="1" applyProtection="1">
      <alignment horizontal="left" vertical="center" wrapText="1" indent="1"/>
    </xf>
    <xf numFmtId="0" fontId="21" fillId="15" borderId="18" xfId="0" applyFont="1" applyFill="1" applyBorder="1" applyAlignment="1" applyProtection="1">
      <alignment horizontal="left" vertical="center" wrapText="1" indent="1"/>
    </xf>
    <xf numFmtId="0" fontId="21" fillId="15" borderId="5" xfId="0" applyFont="1" applyFill="1" applyBorder="1" applyAlignment="1" applyProtection="1">
      <alignment horizontal="left" vertical="center" wrapText="1" indent="1"/>
    </xf>
    <xf numFmtId="0" fontId="21" fillId="15" borderId="6" xfId="0" applyFont="1" applyFill="1" applyBorder="1" applyAlignment="1" applyProtection="1">
      <alignment horizontal="left" vertical="center" wrapText="1" indent="1"/>
    </xf>
    <xf numFmtId="0" fontId="21" fillId="15" borderId="7" xfId="0" applyFont="1" applyFill="1" applyBorder="1" applyAlignment="1" applyProtection="1">
      <alignment horizontal="left" vertical="center" wrapText="1" indent="1"/>
    </xf>
    <xf numFmtId="0" fontId="3" fillId="15" borderId="9" xfId="0" applyFont="1" applyFill="1" applyBorder="1" applyAlignment="1" applyProtection="1">
      <alignment horizontal="center" vertical="center" wrapText="1"/>
    </xf>
    <xf numFmtId="0" fontId="3" fillId="15" borderId="11" xfId="0" applyFont="1" applyFill="1" applyBorder="1" applyAlignment="1" applyProtection="1">
      <alignment horizontal="center" vertical="center" wrapText="1"/>
    </xf>
    <xf numFmtId="0" fontId="1" fillId="8" borderId="19" xfId="0" applyFont="1" applyFill="1" applyBorder="1" applyAlignment="1" applyProtection="1">
      <alignment horizontal="left" vertical="center" wrapText="1"/>
    </xf>
    <xf numFmtId="0" fontId="1" fillId="8" borderId="27" xfId="0" applyFont="1" applyFill="1" applyBorder="1" applyAlignment="1" applyProtection="1">
      <alignment horizontal="left" vertical="center" wrapText="1"/>
    </xf>
    <xf numFmtId="0" fontId="1" fillId="8" borderId="28" xfId="0" applyFont="1" applyFill="1" applyBorder="1" applyAlignment="1" applyProtection="1">
      <alignment horizontal="left" vertical="center" wrapText="1"/>
    </xf>
    <xf numFmtId="0" fontId="1" fillId="8" borderId="24" xfId="0" applyFont="1" applyFill="1" applyBorder="1" applyAlignment="1" applyProtection="1">
      <alignment horizontal="left" vertical="center" wrapText="1"/>
    </xf>
    <xf numFmtId="0" fontId="1" fillId="8" borderId="29" xfId="0" applyFont="1" applyFill="1" applyBorder="1" applyAlignment="1" applyProtection="1">
      <alignment horizontal="left" vertical="center" wrapText="1"/>
    </xf>
    <xf numFmtId="0" fontId="1" fillId="8" borderId="25" xfId="0" applyFont="1" applyFill="1" applyBorder="1" applyAlignment="1" applyProtection="1">
      <alignment horizontal="left" vertical="center" wrapText="1"/>
    </xf>
    <xf numFmtId="0" fontId="1" fillId="0" borderId="16" xfId="0" applyFont="1" applyBorder="1" applyAlignment="1" applyProtection="1">
      <alignment horizontal="center" wrapText="1"/>
    </xf>
    <xf numFmtId="0" fontId="1" fillId="0" borderId="17" xfId="0" applyFont="1" applyBorder="1" applyAlignment="1" applyProtection="1">
      <alignment horizontal="center" wrapText="1"/>
    </xf>
    <xf numFmtId="0" fontId="1" fillId="0" borderId="18" xfId="0" applyFont="1" applyBorder="1" applyAlignment="1" applyProtection="1">
      <alignment horizontal="center" wrapText="1"/>
    </xf>
    <xf numFmtId="0" fontId="1" fillId="8" borderId="16" xfId="0" applyFont="1" applyFill="1" applyBorder="1" applyAlignment="1" applyProtection="1">
      <alignment horizontal="center" vertical="center" wrapText="1"/>
    </xf>
    <xf numFmtId="0" fontId="1" fillId="8" borderId="18" xfId="0" applyFont="1" applyFill="1" applyBorder="1" applyAlignment="1" applyProtection="1">
      <alignment horizontal="center" vertical="center" wrapText="1"/>
    </xf>
    <xf numFmtId="0" fontId="1" fillId="8" borderId="5" xfId="0" applyFont="1" applyFill="1" applyBorder="1" applyAlignment="1" applyProtection="1">
      <alignment horizontal="center" vertical="center" wrapText="1"/>
    </xf>
    <xf numFmtId="0" fontId="1" fillId="8" borderId="7" xfId="0" applyFont="1" applyFill="1" applyBorder="1" applyAlignment="1" applyProtection="1">
      <alignment horizontal="center" vertical="center" wrapText="1"/>
    </xf>
    <xf numFmtId="0" fontId="1" fillId="2" borderId="16" xfId="0" applyFont="1" applyFill="1" applyBorder="1" applyAlignment="1" applyProtection="1">
      <alignment horizontal="center" vertical="center"/>
    </xf>
    <xf numFmtId="0" fontId="1" fillId="2" borderId="18" xfId="0" applyFont="1" applyFill="1" applyBorder="1" applyAlignment="1" applyProtection="1">
      <alignment horizontal="center" vertical="center"/>
    </xf>
    <xf numFmtId="0" fontId="5" fillId="13" borderId="1" xfId="0" applyFont="1" applyFill="1" applyBorder="1" applyAlignment="1" applyProtection="1">
      <alignment horizontal="left" vertical="center" wrapText="1" indent="1"/>
    </xf>
    <xf numFmtId="0" fontId="5" fillId="13" borderId="0" xfId="0" applyFont="1" applyFill="1" applyBorder="1" applyAlignment="1" applyProtection="1">
      <alignment horizontal="left" vertical="center" wrapText="1" indent="1"/>
    </xf>
    <xf numFmtId="0" fontId="5" fillId="13" borderId="2" xfId="0" applyFont="1" applyFill="1" applyBorder="1" applyAlignment="1" applyProtection="1">
      <alignment horizontal="left" vertical="center" wrapText="1" indent="1"/>
    </xf>
    <xf numFmtId="0" fontId="20" fillId="0" borderId="1" xfId="0" applyFont="1" applyBorder="1" applyAlignment="1" applyProtection="1">
      <alignment horizontal="center" vertical="center" wrapText="1"/>
    </xf>
    <xf numFmtId="0" fontId="20" fillId="0" borderId="0" xfId="0" applyFont="1" applyBorder="1" applyAlignment="1" applyProtection="1">
      <alignment horizontal="center" vertical="center" wrapText="1"/>
    </xf>
    <xf numFmtId="0" fontId="20" fillId="0" borderId="2" xfId="0" applyFont="1" applyBorder="1" applyAlignment="1" applyProtection="1">
      <alignment horizontal="center" vertical="center" wrapText="1"/>
    </xf>
    <xf numFmtId="0" fontId="1" fillId="15" borderId="8" xfId="0" applyFont="1" applyFill="1" applyBorder="1" applyAlignment="1" applyProtection="1">
      <alignment horizontal="left" vertical="center" wrapText="1" indent="1"/>
    </xf>
    <xf numFmtId="0" fontId="1" fillId="15" borderId="9" xfId="0" applyFont="1" applyFill="1" applyBorder="1" applyAlignment="1" applyProtection="1">
      <alignment horizontal="left" vertical="center" wrapText="1" indent="1"/>
    </xf>
    <xf numFmtId="0" fontId="1" fillId="15" borderId="11" xfId="0" applyFont="1" applyFill="1" applyBorder="1" applyAlignment="1" applyProtection="1">
      <alignment horizontal="left" vertical="center" wrapText="1" indent="1"/>
    </xf>
    <xf numFmtId="164" fontId="1" fillId="8" borderId="35" xfId="0" applyNumberFormat="1" applyFont="1" applyFill="1" applyBorder="1" applyAlignment="1" applyProtection="1">
      <alignment horizontal="left" vertical="center" wrapText="1" indent="1"/>
    </xf>
    <xf numFmtId="164" fontId="1" fillId="8" borderId="33" xfId="0" applyNumberFormat="1" applyFont="1" applyFill="1" applyBorder="1" applyAlignment="1" applyProtection="1">
      <alignment horizontal="left" vertical="center" wrapText="1" indent="1"/>
    </xf>
    <xf numFmtId="164" fontId="1" fillId="8" borderId="4" xfId="0" applyNumberFormat="1" applyFont="1" applyFill="1" applyBorder="1" applyAlignment="1" applyProtection="1">
      <alignment horizontal="left" vertical="center" wrapText="1" indent="1"/>
    </xf>
    <xf numFmtId="164" fontId="1" fillId="8" borderId="37" xfId="0" applyNumberFormat="1" applyFont="1" applyFill="1" applyBorder="1" applyAlignment="1" applyProtection="1">
      <alignment horizontal="left" vertical="center" wrapText="1" indent="1"/>
    </xf>
    <xf numFmtId="164" fontId="6" fillId="15" borderId="4" xfId="0" applyNumberFormat="1" applyFont="1" applyFill="1" applyBorder="1" applyAlignment="1" applyProtection="1">
      <alignment horizontal="left" vertical="center" wrapText="1" indent="1"/>
    </xf>
    <xf numFmtId="164" fontId="6" fillId="15" borderId="12" xfId="0" applyNumberFormat="1" applyFont="1" applyFill="1" applyBorder="1" applyAlignment="1" applyProtection="1">
      <alignment horizontal="left" vertical="center" wrapText="1" indent="1"/>
    </xf>
    <xf numFmtId="0" fontId="24" fillId="15" borderId="16" xfId="0" applyFont="1" applyFill="1" applyBorder="1" applyAlignment="1" applyProtection="1">
      <alignment horizontal="left" vertical="center" wrapText="1" indent="1"/>
    </xf>
    <xf numFmtId="0" fontId="24" fillId="15" borderId="18" xfId="0" applyFont="1" applyFill="1" applyBorder="1" applyAlignment="1" applyProtection="1">
      <alignment horizontal="left" vertical="center" wrapText="1" indent="1"/>
    </xf>
    <xf numFmtId="0" fontId="24" fillId="15" borderId="5" xfId="0" applyFont="1" applyFill="1" applyBorder="1" applyAlignment="1" applyProtection="1">
      <alignment horizontal="left" vertical="center" wrapText="1" indent="1"/>
    </xf>
    <xf numFmtId="0" fontId="24" fillId="15" borderId="7" xfId="0" applyFont="1" applyFill="1" applyBorder="1" applyAlignment="1" applyProtection="1">
      <alignment horizontal="left" vertical="center" wrapText="1" indent="1"/>
    </xf>
    <xf numFmtId="164" fontId="6" fillId="8" borderId="8" xfId="0" applyNumberFormat="1" applyFont="1" applyFill="1" applyBorder="1" applyAlignment="1" applyProtection="1">
      <alignment horizontal="left" vertical="center" wrapText="1"/>
    </xf>
    <xf numFmtId="164" fontId="1" fillId="8" borderId="11" xfId="0" applyNumberFormat="1" applyFont="1" applyFill="1" applyBorder="1" applyAlignment="1" applyProtection="1">
      <alignment horizontal="left" vertical="center" wrapText="1"/>
    </xf>
    <xf numFmtId="0" fontId="1" fillId="0" borderId="16"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3" fillId="15" borderId="8" xfId="0" applyFont="1" applyFill="1" applyBorder="1" applyAlignment="1" applyProtection="1">
      <alignment horizontal="left" vertical="center" wrapText="1" indent="1"/>
    </xf>
    <xf numFmtId="0" fontId="3" fillId="15" borderId="9" xfId="0" applyFont="1" applyFill="1" applyBorder="1" applyAlignment="1" applyProtection="1">
      <alignment horizontal="left" vertical="center" wrapText="1" indent="1"/>
    </xf>
    <xf numFmtId="0" fontId="3" fillId="15" borderId="11" xfId="0" applyFont="1" applyFill="1" applyBorder="1" applyAlignment="1" applyProtection="1">
      <alignment horizontal="left" vertical="center" wrapText="1" indent="1"/>
    </xf>
    <xf numFmtId="0" fontId="3" fillId="6" borderId="8" xfId="0" applyFont="1" applyFill="1" applyBorder="1" applyAlignment="1" applyProtection="1">
      <alignment horizontal="left" vertical="top" wrapText="1" indent="1"/>
      <protection locked="0"/>
    </xf>
    <xf numFmtId="0" fontId="3" fillId="6" borderId="9" xfId="0" applyFont="1" applyFill="1" applyBorder="1" applyAlignment="1" applyProtection="1">
      <alignment horizontal="left" vertical="top" wrapText="1" indent="1"/>
      <protection locked="0"/>
    </xf>
    <xf numFmtId="0" fontId="3" fillId="6" borderId="11" xfId="0" applyFont="1" applyFill="1" applyBorder="1" applyAlignment="1" applyProtection="1">
      <alignment horizontal="left" vertical="top" wrapText="1" indent="1"/>
      <protection locked="0"/>
    </xf>
    <xf numFmtId="164" fontId="1" fillId="8" borderId="50" xfId="0" applyNumberFormat="1" applyFont="1" applyFill="1" applyBorder="1" applyAlignment="1" applyProtection="1">
      <alignment horizontal="left" vertical="center" wrapText="1" indent="1"/>
    </xf>
    <xf numFmtId="164" fontId="1" fillId="8" borderId="51" xfId="0" applyNumberFormat="1" applyFont="1" applyFill="1" applyBorder="1" applyAlignment="1" applyProtection="1">
      <alignment horizontal="left" vertical="center" wrapText="1" indent="1"/>
    </xf>
    <xf numFmtId="164" fontId="1" fillId="8" borderId="52" xfId="0" applyNumberFormat="1" applyFont="1" applyFill="1" applyBorder="1" applyAlignment="1" applyProtection="1">
      <alignment horizontal="left" vertical="center" wrapText="1" indent="1"/>
    </xf>
    <xf numFmtId="164" fontId="6" fillId="15" borderId="30" xfId="0" applyNumberFormat="1" applyFont="1" applyFill="1" applyBorder="1" applyAlignment="1" applyProtection="1">
      <alignment horizontal="left" vertical="center" wrapText="1" indent="1"/>
    </xf>
    <xf numFmtId="164" fontId="6" fillId="15" borderId="31" xfId="0" applyNumberFormat="1" applyFont="1" applyFill="1" applyBorder="1" applyAlignment="1" applyProtection="1">
      <alignment horizontal="left" vertical="center" wrapText="1" indent="1"/>
    </xf>
    <xf numFmtId="164" fontId="6" fillId="15" borderId="32" xfId="0" applyNumberFormat="1" applyFont="1" applyFill="1" applyBorder="1" applyAlignment="1" applyProtection="1">
      <alignment horizontal="left" vertical="center" wrapText="1" indent="1"/>
    </xf>
    <xf numFmtId="0" fontId="24" fillId="15" borderId="16" xfId="0" applyFont="1" applyFill="1" applyBorder="1" applyAlignment="1" applyProtection="1">
      <alignment vertical="center" wrapText="1"/>
    </xf>
    <xf numFmtId="0" fontId="24" fillId="15" borderId="17" xfId="0" applyFont="1" applyFill="1" applyBorder="1" applyAlignment="1" applyProtection="1">
      <alignment vertical="center" wrapText="1"/>
    </xf>
    <xf numFmtId="0" fontId="24" fillId="15" borderId="5" xfId="0" applyFont="1" applyFill="1" applyBorder="1" applyAlignment="1" applyProtection="1">
      <alignment vertical="center" wrapText="1"/>
    </xf>
    <xf numFmtId="0" fontId="24" fillId="15" borderId="6" xfId="0" applyFont="1" applyFill="1" applyBorder="1" applyAlignment="1" applyProtection="1">
      <alignment vertical="center" wrapText="1"/>
    </xf>
    <xf numFmtId="164" fontId="6" fillId="8" borderId="8" xfId="0" applyNumberFormat="1" applyFont="1" applyFill="1" applyBorder="1" applyAlignment="1" applyProtection="1">
      <alignment vertical="center" wrapText="1"/>
    </xf>
    <xf numFmtId="164" fontId="6" fillId="8" borderId="9" xfId="0" applyNumberFormat="1" applyFont="1" applyFill="1" applyBorder="1" applyAlignment="1" applyProtection="1">
      <alignment vertical="center" wrapText="1"/>
    </xf>
    <xf numFmtId="164" fontId="6" fillId="8" borderId="11" xfId="0" applyNumberFormat="1" applyFont="1" applyFill="1" applyBorder="1" applyAlignment="1" applyProtection="1">
      <alignment vertical="center" wrapText="1"/>
    </xf>
    <xf numFmtId="164" fontId="1" fillId="2" borderId="5" xfId="0" applyNumberFormat="1" applyFont="1" applyFill="1" applyBorder="1" applyAlignment="1" applyProtection="1">
      <alignment horizontal="center" vertical="center" wrapText="1"/>
    </xf>
    <xf numFmtId="164" fontId="1" fillId="2" borderId="6" xfId="0" applyNumberFormat="1" applyFont="1" applyFill="1" applyBorder="1" applyAlignment="1" applyProtection="1">
      <alignment horizontal="center" vertical="center" wrapText="1"/>
    </xf>
    <xf numFmtId="164" fontId="1" fillId="2" borderId="7" xfId="0" applyNumberFormat="1" applyFont="1" applyFill="1" applyBorder="1" applyAlignment="1" applyProtection="1">
      <alignment horizontal="center" vertical="center" wrapText="1"/>
    </xf>
    <xf numFmtId="0" fontId="3" fillId="15" borderId="8" xfId="0" applyFont="1" applyFill="1" applyBorder="1" applyAlignment="1" applyProtection="1">
      <alignment horizontal="center" vertical="center" wrapText="1"/>
    </xf>
    <xf numFmtId="0" fontId="1" fillId="8" borderId="10" xfId="0" applyFont="1" applyFill="1" applyBorder="1" applyAlignment="1" applyProtection="1">
      <alignment horizontal="left" vertical="center" wrapText="1" indent="1"/>
    </xf>
    <xf numFmtId="0" fontId="1" fillId="8" borderId="4" xfId="0" applyFont="1" applyFill="1" applyBorder="1" applyAlignment="1" applyProtection="1">
      <alignment horizontal="left" vertical="center" wrapText="1" indent="1"/>
    </xf>
    <xf numFmtId="0" fontId="1" fillId="8" borderId="33" xfId="0" applyFont="1" applyFill="1" applyBorder="1" applyAlignment="1" applyProtection="1">
      <alignment horizontal="left" vertical="center" wrapText="1" indent="1"/>
    </xf>
    <xf numFmtId="0" fontId="1" fillId="8" borderId="43" xfId="0" applyFont="1" applyFill="1" applyBorder="1" applyAlignment="1" applyProtection="1">
      <alignment horizontal="center" vertical="center" wrapText="1"/>
    </xf>
    <xf numFmtId="0" fontId="1" fillId="8" borderId="44" xfId="0" applyFont="1" applyFill="1" applyBorder="1" applyAlignment="1" applyProtection="1">
      <alignment horizontal="center" vertical="center" wrapText="1"/>
    </xf>
    <xf numFmtId="164" fontId="1" fillId="8" borderId="40" xfId="0" applyNumberFormat="1" applyFont="1" applyFill="1" applyBorder="1" applyAlignment="1" applyProtection="1">
      <alignment horizontal="left" vertical="center" wrapText="1" indent="1"/>
    </xf>
    <xf numFmtId="164" fontId="1" fillId="8" borderId="41" xfId="0" applyNumberFormat="1" applyFont="1" applyFill="1" applyBorder="1" applyAlignment="1" applyProtection="1">
      <alignment horizontal="left" vertical="center" wrapText="1" indent="1"/>
    </xf>
    <xf numFmtId="164" fontId="1" fillId="8" borderId="42" xfId="0" applyNumberFormat="1" applyFont="1" applyFill="1" applyBorder="1" applyAlignment="1" applyProtection="1">
      <alignment horizontal="left" vertical="center" wrapText="1" indent="1"/>
    </xf>
    <xf numFmtId="0" fontId="6" fillId="8" borderId="36" xfId="0" applyFont="1" applyFill="1" applyBorder="1" applyAlignment="1" applyProtection="1">
      <alignment horizontal="left" vertical="center" wrapText="1" indent="1"/>
    </xf>
    <xf numFmtId="0" fontId="1" fillId="8" borderId="14" xfId="0" applyFont="1" applyFill="1" applyBorder="1" applyAlignment="1" applyProtection="1">
      <alignment horizontal="left" vertical="center" wrapText="1" indent="1"/>
    </xf>
    <xf numFmtId="0" fontId="1" fillId="8" borderId="34" xfId="0" applyFont="1" applyFill="1" applyBorder="1" applyAlignment="1" applyProtection="1">
      <alignment horizontal="left" vertical="center" wrapText="1" indent="1"/>
    </xf>
    <xf numFmtId="164" fontId="1" fillId="8" borderId="16" xfId="0" applyNumberFormat="1" applyFont="1" applyFill="1" applyBorder="1" applyAlignment="1" applyProtection="1">
      <alignment horizontal="left" vertical="center" wrapText="1" indent="1"/>
    </xf>
    <xf numFmtId="164" fontId="1" fillId="8" borderId="17" xfId="0" applyNumberFormat="1" applyFont="1" applyFill="1" applyBorder="1" applyAlignment="1" applyProtection="1">
      <alignment horizontal="left" vertical="center" wrapText="1" indent="1"/>
    </xf>
    <xf numFmtId="164" fontId="1" fillId="8" borderId="18" xfId="0" applyNumberFormat="1" applyFont="1" applyFill="1" applyBorder="1" applyAlignment="1" applyProtection="1">
      <alignment horizontal="left" vertical="center" wrapText="1" indent="1"/>
    </xf>
    <xf numFmtId="164" fontId="1" fillId="8" borderId="8" xfId="0" applyNumberFormat="1" applyFont="1" applyFill="1" applyBorder="1" applyAlignment="1" applyProtection="1">
      <alignment horizontal="left" vertical="center" wrapText="1" indent="1"/>
    </xf>
    <xf numFmtId="164" fontId="1" fillId="8" borderId="9" xfId="0" applyNumberFormat="1" applyFont="1" applyFill="1" applyBorder="1" applyAlignment="1" applyProtection="1">
      <alignment horizontal="left" vertical="center" wrapText="1" indent="1"/>
    </xf>
    <xf numFmtId="164" fontId="1" fillId="8" borderId="11" xfId="0" applyNumberFormat="1" applyFont="1" applyFill="1" applyBorder="1" applyAlignment="1" applyProtection="1">
      <alignment horizontal="left" vertical="center" wrapText="1" indent="1"/>
    </xf>
    <xf numFmtId="164" fontId="1" fillId="8" borderId="45" xfId="0" applyNumberFormat="1" applyFont="1" applyFill="1" applyBorder="1" applyAlignment="1" applyProtection="1">
      <alignment horizontal="left" vertical="center" wrapText="1" indent="1"/>
    </xf>
    <xf numFmtId="164" fontId="1" fillId="8" borderId="46" xfId="0" applyNumberFormat="1" applyFont="1" applyFill="1" applyBorder="1" applyAlignment="1" applyProtection="1">
      <alignment horizontal="left" vertical="center" wrapText="1" indent="1"/>
    </xf>
    <xf numFmtId="164" fontId="1" fillId="8" borderId="47" xfId="0" applyNumberFormat="1" applyFont="1" applyFill="1" applyBorder="1" applyAlignment="1" applyProtection="1">
      <alignment horizontal="left" vertical="center" wrapText="1" indent="1"/>
    </xf>
    <xf numFmtId="0" fontId="4" fillId="13" borderId="1" xfId="0" applyFont="1" applyFill="1" applyBorder="1" applyAlignment="1" applyProtection="1">
      <alignment horizontal="left" vertical="center" wrapText="1"/>
    </xf>
    <xf numFmtId="0" fontId="4" fillId="13" borderId="0" xfId="0" applyFont="1" applyFill="1" applyBorder="1" applyAlignment="1" applyProtection="1">
      <alignment horizontal="left" vertical="center" wrapText="1"/>
    </xf>
    <xf numFmtId="0" fontId="4" fillId="13" borderId="2" xfId="0" applyFont="1" applyFill="1" applyBorder="1" applyAlignment="1" applyProtection="1">
      <alignment horizontal="left" vertical="center" wrapText="1"/>
    </xf>
    <xf numFmtId="0" fontId="26" fillId="15" borderId="16" xfId="0" applyFont="1" applyFill="1" applyBorder="1" applyAlignment="1" applyProtection="1">
      <alignment horizontal="left" vertical="center" wrapText="1" indent="1"/>
    </xf>
    <xf numFmtId="0" fontId="26" fillId="15" borderId="17" xfId="0" applyFont="1" applyFill="1" applyBorder="1" applyAlignment="1" applyProtection="1">
      <alignment horizontal="left" vertical="center" wrapText="1" indent="1"/>
    </xf>
    <xf numFmtId="0" fontId="26" fillId="15" borderId="18" xfId="0" applyFont="1" applyFill="1" applyBorder="1" applyAlignment="1" applyProtection="1">
      <alignment horizontal="left" vertical="center" wrapText="1" indent="1"/>
    </xf>
    <xf numFmtId="0" fontId="26" fillId="15" borderId="5" xfId="0" applyFont="1" applyFill="1" applyBorder="1" applyAlignment="1" applyProtection="1">
      <alignment horizontal="left" vertical="center" wrapText="1" indent="1"/>
    </xf>
    <xf numFmtId="0" fontId="26" fillId="15" borderId="6" xfId="0" applyFont="1" applyFill="1" applyBorder="1" applyAlignment="1" applyProtection="1">
      <alignment horizontal="left" vertical="center" wrapText="1" indent="1"/>
    </xf>
    <xf numFmtId="0" fontId="26" fillId="15" borderId="7" xfId="0" applyFont="1" applyFill="1" applyBorder="1" applyAlignment="1" applyProtection="1">
      <alignment horizontal="left" vertical="center" wrapText="1" indent="1"/>
    </xf>
    <xf numFmtId="0" fontId="3" fillId="6" borderId="8" xfId="1" applyFont="1" applyFill="1" applyBorder="1" applyAlignment="1" applyProtection="1">
      <alignment horizontal="left" vertical="top" wrapText="1" indent="1"/>
      <protection locked="0"/>
    </xf>
    <xf numFmtId="0" fontId="3" fillId="6" borderId="9" xfId="1" applyFont="1" applyFill="1" applyBorder="1" applyAlignment="1" applyProtection="1">
      <alignment horizontal="left" vertical="top" wrapText="1" indent="1"/>
      <protection locked="0"/>
    </xf>
    <xf numFmtId="0" fontId="3" fillId="6" borderId="11" xfId="1" applyFont="1" applyFill="1" applyBorder="1" applyAlignment="1" applyProtection="1">
      <alignment horizontal="left" vertical="top" wrapText="1" indent="1"/>
      <protection locked="0"/>
    </xf>
    <xf numFmtId="0" fontId="11" fillId="14" borderId="16" xfId="1" applyFont="1" applyFill="1" applyBorder="1" applyAlignment="1" applyProtection="1">
      <alignment horizontal="center" vertical="center" wrapText="1"/>
    </xf>
    <xf numFmtId="0" fontId="13" fillId="14" borderId="17" xfId="0" applyFont="1" applyFill="1" applyBorder="1" applyProtection="1"/>
    <xf numFmtId="0" fontId="13" fillId="14" borderId="18" xfId="0" applyFont="1" applyFill="1" applyBorder="1" applyProtection="1"/>
    <xf numFmtId="0" fontId="15" fillId="3" borderId="1" xfId="1" applyFont="1" applyFill="1" applyBorder="1" applyAlignment="1" applyProtection="1">
      <alignment horizontal="left" vertical="center" wrapText="1" indent="1"/>
    </xf>
    <xf numFmtId="0" fontId="15" fillId="3" borderId="0" xfId="1" applyFont="1" applyFill="1" applyBorder="1" applyAlignment="1" applyProtection="1">
      <alignment horizontal="left" vertical="center" wrapText="1" indent="1"/>
    </xf>
    <xf numFmtId="0" fontId="15" fillId="3" borderId="2" xfId="1" applyFont="1" applyFill="1" applyBorder="1" applyAlignment="1" applyProtection="1">
      <alignment horizontal="left" vertical="center" wrapText="1" indent="1"/>
    </xf>
    <xf numFmtId="0" fontId="15" fillId="13" borderId="1" xfId="1" applyFont="1" applyFill="1" applyBorder="1" applyAlignment="1" applyProtection="1">
      <alignment horizontal="left" vertical="center" wrapText="1" indent="1"/>
    </xf>
    <xf numFmtId="0" fontId="15" fillId="13" borderId="0" xfId="1" applyFont="1" applyFill="1" applyBorder="1" applyAlignment="1" applyProtection="1">
      <alignment horizontal="left" vertical="center" wrapText="1" indent="1"/>
    </xf>
    <xf numFmtId="0" fontId="15" fillId="13" borderId="2" xfId="1" applyFont="1" applyFill="1" applyBorder="1" applyAlignment="1" applyProtection="1">
      <alignment horizontal="left" vertical="center" wrapText="1" indent="1"/>
    </xf>
    <xf numFmtId="0" fontId="15" fillId="17" borderId="1" xfId="1" applyFont="1" applyFill="1" applyBorder="1" applyAlignment="1" applyProtection="1">
      <alignment horizontal="left" vertical="center" wrapText="1" indent="1"/>
    </xf>
    <xf numFmtId="0" fontId="15" fillId="17" borderId="0" xfId="1" applyFont="1" applyFill="1" applyBorder="1" applyAlignment="1" applyProtection="1">
      <alignment horizontal="left" vertical="center" wrapText="1" indent="1"/>
    </xf>
    <xf numFmtId="0" fontId="15" fillId="17" borderId="2" xfId="1" applyFont="1" applyFill="1" applyBorder="1" applyAlignment="1" applyProtection="1">
      <alignment horizontal="left" vertical="center" wrapText="1" indent="1"/>
    </xf>
    <xf numFmtId="0" fontId="5" fillId="13" borderId="1" xfId="1" applyFont="1" applyFill="1" applyBorder="1" applyAlignment="1" applyProtection="1">
      <alignment horizontal="left" vertical="center" wrapText="1" indent="1"/>
    </xf>
    <xf numFmtId="0" fontId="5" fillId="13" borderId="0" xfId="1" applyFont="1" applyFill="1" applyBorder="1" applyAlignment="1" applyProtection="1">
      <alignment horizontal="left" vertical="center" wrapText="1" indent="1"/>
    </xf>
    <xf numFmtId="0" fontId="5" fillId="13" borderId="2" xfId="1" applyFont="1" applyFill="1" applyBorder="1" applyAlignment="1" applyProtection="1">
      <alignment horizontal="left" vertical="center" wrapText="1" indent="1"/>
    </xf>
    <xf numFmtId="0" fontId="29" fillId="15" borderId="10" xfId="0" applyFont="1" applyFill="1" applyBorder="1" applyAlignment="1" applyProtection="1">
      <alignment horizontal="left" vertical="center" wrapText="1" indent="1"/>
    </xf>
    <xf numFmtId="0" fontId="29" fillId="15" borderId="12" xfId="0" applyFont="1" applyFill="1" applyBorder="1" applyAlignment="1" applyProtection="1">
      <alignment horizontal="left" vertical="center" wrapText="1" indent="1"/>
    </xf>
    <xf numFmtId="0" fontId="14" fillId="7" borderId="8" xfId="1" applyFont="1" applyFill="1" applyBorder="1" applyAlignment="1" applyProtection="1">
      <alignment horizontal="center" vertical="center" wrapText="1"/>
    </xf>
    <xf numFmtId="0" fontId="14" fillId="7" borderId="9" xfId="1" applyFont="1" applyFill="1" applyBorder="1" applyAlignment="1" applyProtection="1">
      <alignment horizontal="center" vertical="center" wrapText="1"/>
    </xf>
    <xf numFmtId="0" fontId="14" fillId="7" borderId="11" xfId="1" applyFont="1" applyFill="1" applyBorder="1" applyAlignment="1" applyProtection="1">
      <alignment horizontal="center" vertical="center" wrapText="1"/>
    </xf>
    <xf numFmtId="0" fontId="24" fillId="15" borderId="10" xfId="0" applyFont="1" applyFill="1" applyBorder="1" applyAlignment="1" applyProtection="1">
      <alignment horizontal="left" vertical="center" wrapText="1" indent="1"/>
    </xf>
    <xf numFmtId="0" fontId="24" fillId="15" borderId="12" xfId="0" applyFont="1" applyFill="1" applyBorder="1" applyAlignment="1" applyProtection="1">
      <alignment horizontal="left" vertical="center" wrapText="1" indent="1"/>
    </xf>
    <xf numFmtId="0" fontId="3" fillId="15" borderId="8" xfId="1" applyFont="1" applyFill="1" applyBorder="1" applyAlignment="1" applyProtection="1">
      <alignment horizontal="left" vertical="center" wrapText="1" indent="1"/>
    </xf>
    <xf numFmtId="0" fontId="3" fillId="15" borderId="9" xfId="1" applyFont="1" applyFill="1" applyBorder="1" applyAlignment="1" applyProtection="1">
      <alignment horizontal="left" vertical="center" wrapText="1" indent="1"/>
    </xf>
    <xf numFmtId="0" fontId="3" fillId="15" borderId="11" xfId="1" applyFont="1" applyFill="1" applyBorder="1" applyAlignment="1" applyProtection="1">
      <alignment horizontal="left" vertical="center" wrapText="1" indent="1"/>
    </xf>
    <xf numFmtId="0" fontId="1" fillId="2" borderId="1" xfId="0" applyNumberFormat="1" applyFont="1" applyFill="1" applyBorder="1" applyAlignment="1" applyProtection="1">
      <alignment horizontal="center" vertical="center"/>
    </xf>
    <xf numFmtId="0" fontId="1" fillId="2" borderId="0" xfId="0" applyNumberFormat="1" applyFont="1" applyFill="1" applyBorder="1" applyAlignment="1" applyProtection="1">
      <alignment horizontal="center" vertical="center"/>
    </xf>
    <xf numFmtId="0" fontId="1" fillId="2" borderId="2" xfId="0" applyNumberFormat="1" applyFont="1" applyFill="1" applyBorder="1" applyAlignment="1" applyProtection="1">
      <alignment horizontal="center" vertical="center"/>
    </xf>
    <xf numFmtId="0" fontId="3" fillId="15" borderId="8" xfId="0" applyFont="1" applyFill="1" applyBorder="1" applyAlignment="1" applyProtection="1">
      <alignment horizontal="left" vertical="center" wrapText="1"/>
    </xf>
    <xf numFmtId="0" fontId="3" fillId="15" borderId="9" xfId="0" applyFont="1" applyFill="1" applyBorder="1" applyAlignment="1" applyProtection="1">
      <alignment horizontal="left" vertical="center" wrapText="1"/>
    </xf>
    <xf numFmtId="0" fontId="3" fillId="15" borderId="11" xfId="0" applyFont="1" applyFill="1" applyBorder="1" applyAlignment="1" applyProtection="1">
      <alignment horizontal="left" vertical="center" wrapText="1"/>
    </xf>
    <xf numFmtId="0" fontId="3" fillId="6" borderId="8" xfId="0" applyFont="1" applyFill="1" applyBorder="1" applyAlignment="1" applyProtection="1">
      <alignment horizontal="center" vertical="top" wrapText="1"/>
      <protection locked="0"/>
    </xf>
    <xf numFmtId="0" fontId="3" fillId="6" borderId="9" xfId="0" applyFont="1" applyFill="1" applyBorder="1" applyAlignment="1" applyProtection="1">
      <alignment horizontal="center" vertical="top" wrapText="1"/>
      <protection locked="0"/>
    </xf>
    <xf numFmtId="0" fontId="3" fillId="6" borderId="11" xfId="0" applyFont="1" applyFill="1" applyBorder="1" applyAlignment="1" applyProtection="1">
      <alignment horizontal="center" vertical="top" wrapText="1"/>
      <protection locked="0"/>
    </xf>
    <xf numFmtId="0" fontId="1" fillId="4" borderId="4" xfId="0" applyFont="1" applyFill="1" applyBorder="1" applyAlignment="1" applyProtection="1">
      <alignment horizontal="center" vertical="center" wrapText="1"/>
    </xf>
    <xf numFmtId="0" fontId="1" fillId="4" borderId="12" xfId="0" applyFont="1" applyFill="1" applyBorder="1" applyAlignment="1" applyProtection="1">
      <alignment horizontal="center" vertical="center" wrapText="1"/>
    </xf>
    <xf numFmtId="0" fontId="1" fillId="4" borderId="8" xfId="0" applyFont="1" applyFill="1" applyBorder="1" applyAlignment="1" applyProtection="1">
      <alignment horizontal="center" vertical="center"/>
    </xf>
    <xf numFmtId="0" fontId="1" fillId="15" borderId="8" xfId="0" applyFont="1" applyFill="1" applyBorder="1" applyAlignment="1" applyProtection="1">
      <alignment horizontal="center" vertical="center" wrapText="1"/>
    </xf>
    <xf numFmtId="0" fontId="1" fillId="15" borderId="9" xfId="0" applyFont="1" applyFill="1" applyBorder="1" applyAlignment="1" applyProtection="1">
      <alignment horizontal="center" vertical="center" wrapText="1"/>
    </xf>
    <xf numFmtId="0" fontId="1" fillId="15" borderId="11" xfId="0" applyFont="1" applyFill="1" applyBorder="1" applyAlignment="1" applyProtection="1">
      <alignment horizontal="center" vertical="center" wrapText="1"/>
    </xf>
    <xf numFmtId="49" fontId="1" fillId="15" borderId="10" xfId="0" applyNumberFormat="1" applyFont="1" applyFill="1" applyBorder="1" applyAlignment="1" applyProtection="1">
      <alignment horizontal="center" vertical="center" wrapText="1"/>
    </xf>
    <xf numFmtId="49" fontId="1" fillId="15" borderId="12" xfId="0" applyNumberFormat="1" applyFont="1" applyFill="1" applyBorder="1" applyAlignment="1" applyProtection="1">
      <alignment horizontal="center" vertical="center" wrapText="1"/>
    </xf>
    <xf numFmtId="0" fontId="1" fillId="4" borderId="4" xfId="0" applyFont="1" applyFill="1" applyBorder="1" applyAlignment="1" applyProtection="1">
      <alignment horizontal="center" vertical="center"/>
    </xf>
    <xf numFmtId="0" fontId="1" fillId="4" borderId="12" xfId="0" applyFont="1" applyFill="1" applyBorder="1" applyAlignment="1" applyProtection="1">
      <alignment horizontal="center" vertical="center"/>
    </xf>
    <xf numFmtId="0" fontId="1" fillId="4" borderId="10" xfId="0" applyFont="1" applyFill="1" applyBorder="1" applyAlignment="1" applyProtection="1">
      <alignment horizontal="center" vertical="center" wrapText="1"/>
    </xf>
    <xf numFmtId="0" fontId="20" fillId="17" borderId="1" xfId="0" applyFont="1" applyFill="1" applyBorder="1" applyAlignment="1" applyProtection="1">
      <alignment horizontal="left" vertical="center" wrapText="1"/>
    </xf>
    <xf numFmtId="0" fontId="20" fillId="17" borderId="0" xfId="0" applyFont="1" applyFill="1" applyBorder="1" applyAlignment="1" applyProtection="1">
      <alignment horizontal="left" vertical="center" wrapText="1"/>
    </xf>
    <xf numFmtId="0" fontId="20" fillId="17" borderId="2" xfId="0" applyFont="1" applyFill="1" applyBorder="1" applyAlignment="1" applyProtection="1">
      <alignment horizontal="left" vertical="center" wrapText="1"/>
    </xf>
    <xf numFmtId="0" fontId="26" fillId="15" borderId="8" xfId="0" applyFont="1" applyFill="1" applyBorder="1" applyAlignment="1" applyProtection="1">
      <alignment horizontal="center" vertical="center" wrapText="1"/>
    </xf>
    <xf numFmtId="0" fontId="26" fillId="15" borderId="9" xfId="0" applyFont="1" applyFill="1" applyBorder="1" applyAlignment="1" applyProtection="1">
      <alignment horizontal="center" vertical="center" wrapText="1"/>
    </xf>
    <xf numFmtId="0" fontId="26" fillId="15" borderId="11" xfId="0" applyFont="1" applyFill="1" applyBorder="1" applyAlignment="1" applyProtection="1">
      <alignment horizontal="center" vertical="center" wrapText="1"/>
    </xf>
    <xf numFmtId="0" fontId="22" fillId="4" borderId="8" xfId="0" applyFont="1" applyFill="1" applyBorder="1" applyAlignment="1" applyProtection="1">
      <alignment horizontal="center" vertical="center"/>
    </xf>
    <xf numFmtId="0" fontId="22" fillId="4" borderId="9" xfId="0" applyFont="1" applyFill="1" applyBorder="1" applyAlignment="1" applyProtection="1">
      <alignment horizontal="center" vertical="center"/>
    </xf>
    <xf numFmtId="0" fontId="22" fillId="4" borderId="11" xfId="0" applyFont="1" applyFill="1" applyBorder="1" applyAlignment="1" applyProtection="1">
      <alignment horizontal="center" vertical="center"/>
    </xf>
    <xf numFmtId="0" fontId="3" fillId="15" borderId="10" xfId="0" applyFont="1" applyFill="1" applyBorder="1" applyAlignment="1" applyProtection="1">
      <alignment horizontal="center" vertical="center" wrapText="1"/>
    </xf>
    <xf numFmtId="0" fontId="3" fillId="15" borderId="12" xfId="0" applyFont="1" applyFill="1" applyBorder="1" applyAlignment="1" applyProtection="1">
      <alignment horizontal="center" vertical="center" wrapText="1"/>
    </xf>
    <xf numFmtId="0" fontId="3" fillId="0" borderId="16" xfId="0" applyFont="1" applyBorder="1" applyAlignment="1" applyProtection="1">
      <alignment horizontal="center"/>
    </xf>
    <xf numFmtId="0" fontId="3" fillId="0" borderId="17" xfId="0" applyFont="1" applyBorder="1" applyAlignment="1" applyProtection="1">
      <alignment horizontal="center"/>
    </xf>
    <xf numFmtId="0" fontId="3" fillId="0" borderId="18" xfId="0" applyFont="1" applyBorder="1" applyAlignment="1" applyProtection="1">
      <alignment horizontal="center"/>
    </xf>
    <xf numFmtId="0" fontId="15" fillId="13" borderId="2" xfId="0" applyFont="1" applyFill="1" applyBorder="1" applyAlignment="1" applyProtection="1">
      <alignment horizontal="left" vertical="center" wrapText="1"/>
    </xf>
    <xf numFmtId="0" fontId="30" fillId="0" borderId="1" xfId="0" applyFont="1" applyFill="1" applyBorder="1" applyAlignment="1" applyProtection="1">
      <alignment horizontal="center" vertical="center" wrapText="1"/>
    </xf>
    <xf numFmtId="0" fontId="30" fillId="0" borderId="0" xfId="0" applyFont="1" applyFill="1" applyBorder="1" applyAlignment="1" applyProtection="1">
      <alignment horizontal="center" vertical="center" wrapText="1"/>
    </xf>
    <xf numFmtId="0" fontId="30" fillId="0" borderId="2" xfId="0" applyFont="1" applyFill="1" applyBorder="1" applyAlignment="1" applyProtection="1">
      <alignment horizontal="center" vertical="center" wrapText="1"/>
    </xf>
    <xf numFmtId="0" fontId="5" fillId="13" borderId="1" xfId="0" applyFont="1" applyFill="1" applyBorder="1" applyAlignment="1" applyProtection="1">
      <alignment horizontal="left" vertical="center" wrapText="1"/>
    </xf>
    <xf numFmtId="0" fontId="5" fillId="13" borderId="0" xfId="0" applyFont="1" applyFill="1" applyBorder="1" applyAlignment="1" applyProtection="1">
      <alignment horizontal="left" vertical="center" wrapText="1"/>
    </xf>
    <xf numFmtId="0" fontId="5" fillId="13" borderId="2" xfId="0" applyFont="1" applyFill="1" applyBorder="1" applyAlignment="1" applyProtection="1">
      <alignment horizontal="left" vertical="center" wrapText="1"/>
    </xf>
    <xf numFmtId="0" fontId="1" fillId="6" borderId="65" xfId="5" applyNumberFormat="1" applyFont="1" applyFill="1" applyBorder="1" applyAlignment="1" applyProtection="1">
      <alignment horizontal="center" vertical="center" wrapText="1"/>
      <protection locked="0"/>
    </xf>
    <xf numFmtId="0" fontId="1" fillId="6" borderId="23" xfId="5" applyNumberFormat="1" applyFont="1" applyFill="1" applyBorder="1" applyAlignment="1" applyProtection="1">
      <alignment horizontal="center" vertical="center" wrapText="1"/>
      <protection locked="0"/>
    </xf>
    <xf numFmtId="0" fontId="8" fillId="14" borderId="8" xfId="5" applyFont="1" applyFill="1" applyBorder="1" applyAlignment="1" applyProtection="1">
      <alignment horizontal="center" vertical="center" wrapText="1"/>
    </xf>
    <xf numFmtId="0" fontId="8" fillId="14" borderId="9" xfId="5" applyFont="1" applyFill="1" applyBorder="1" applyAlignment="1" applyProtection="1">
      <alignment horizontal="center" vertical="center" wrapText="1"/>
    </xf>
    <xf numFmtId="0" fontId="8" fillId="14" borderId="11" xfId="5" applyFont="1" applyFill="1" applyBorder="1" applyAlignment="1" applyProtection="1">
      <alignment horizontal="center" vertical="center" wrapText="1"/>
    </xf>
    <xf numFmtId="0" fontId="1" fillId="2" borderId="6" xfId="5" applyFont="1" applyFill="1" applyBorder="1" applyAlignment="1" applyProtection="1">
      <alignment horizontal="center" vertical="center"/>
    </xf>
    <xf numFmtId="0" fontId="33" fillId="6" borderId="8" xfId="5" applyFont="1" applyFill="1" applyBorder="1" applyAlignment="1" applyProtection="1">
      <alignment horizontal="left" vertical="top"/>
      <protection locked="0"/>
    </xf>
    <xf numFmtId="0" fontId="33" fillId="6" borderId="9" xfId="5" applyFont="1" applyFill="1" applyBorder="1" applyAlignment="1" applyProtection="1">
      <alignment horizontal="left" vertical="top"/>
      <protection locked="0"/>
    </xf>
    <xf numFmtId="0" fontId="33" fillId="6" borderId="11" xfId="5" applyFont="1" applyFill="1" applyBorder="1" applyAlignment="1" applyProtection="1">
      <alignment horizontal="left" vertical="top"/>
      <protection locked="0"/>
    </xf>
    <xf numFmtId="0" fontId="1" fillId="6" borderId="22" xfId="5" applyNumberFormat="1" applyFont="1" applyFill="1" applyBorder="1" applyAlignment="1" applyProtection="1">
      <alignment horizontal="center" vertical="center" wrapText="1"/>
      <protection locked="0"/>
    </xf>
    <xf numFmtId="0" fontId="1" fillId="6" borderId="56" xfId="5" applyNumberFormat="1" applyFont="1" applyFill="1" applyBorder="1" applyAlignment="1" applyProtection="1">
      <alignment horizontal="center" vertical="center" wrapText="1"/>
      <protection locked="0"/>
    </xf>
    <xf numFmtId="0" fontId="4" fillId="14" borderId="1" xfId="5" applyFont="1" applyFill="1" applyBorder="1" applyAlignment="1" applyProtection="1">
      <alignment horizontal="left" vertical="center" wrapText="1"/>
    </xf>
    <xf numFmtId="0" fontId="4" fillId="14" borderId="0" xfId="5" applyFont="1" applyFill="1" applyBorder="1" applyAlignment="1" applyProtection="1">
      <alignment horizontal="left" vertical="center" wrapText="1"/>
    </xf>
    <xf numFmtId="0" fontId="20" fillId="3" borderId="1" xfId="5" applyFont="1" applyFill="1" applyBorder="1" applyAlignment="1" applyProtection="1">
      <alignment horizontal="left" vertical="center" wrapText="1"/>
    </xf>
    <xf numFmtId="0" fontId="20" fillId="3" borderId="0" xfId="5" applyFont="1" applyFill="1" applyBorder="1" applyAlignment="1" applyProtection="1">
      <alignment horizontal="left" vertical="center" wrapText="1"/>
    </xf>
    <xf numFmtId="0" fontId="5" fillId="13" borderId="1" xfId="5" applyFont="1" applyFill="1" applyBorder="1" applyAlignment="1" applyProtection="1">
      <alignment horizontal="left" vertical="center" wrapText="1"/>
    </xf>
    <xf numFmtId="0" fontId="5" fillId="13" borderId="0" xfId="5" applyFont="1" applyFill="1" applyBorder="1" applyAlignment="1" applyProtection="1">
      <alignment horizontal="left" vertical="center" wrapText="1"/>
    </xf>
    <xf numFmtId="0" fontId="1" fillId="14" borderId="8" xfId="5" applyFont="1" applyFill="1" applyBorder="1" applyAlignment="1" applyProtection="1">
      <alignment horizontal="center" vertical="center" wrapText="1"/>
    </xf>
    <xf numFmtId="0" fontId="1" fillId="14" borderId="11" xfId="5" applyFont="1" applyFill="1" applyBorder="1" applyAlignment="1" applyProtection="1">
      <alignment horizontal="center" vertical="center" wrapText="1"/>
    </xf>
    <xf numFmtId="0" fontId="1" fillId="6" borderId="19" xfId="5" applyNumberFormat="1" applyFont="1" applyFill="1" applyBorder="1" applyAlignment="1" applyProtection="1">
      <alignment horizontal="center" vertical="center" wrapText="1"/>
      <protection locked="0"/>
    </xf>
    <xf numFmtId="0" fontId="1" fillId="6" borderId="28" xfId="5" applyNumberFormat="1" applyFont="1" applyFill="1" applyBorder="1" applyAlignment="1" applyProtection="1">
      <alignment horizontal="center" vertical="center" wrapText="1"/>
      <protection locked="0"/>
    </xf>
    <xf numFmtId="0" fontId="22" fillId="4" borderId="5" xfId="5" applyFont="1" applyFill="1" applyBorder="1" applyAlignment="1" applyProtection="1">
      <alignment horizontal="center" vertical="center"/>
    </xf>
    <xf numFmtId="0" fontId="22" fillId="4" borderId="6" xfId="5" applyFont="1" applyFill="1" applyBorder="1" applyAlignment="1" applyProtection="1">
      <alignment horizontal="center" vertical="center"/>
    </xf>
    <xf numFmtId="0" fontId="1" fillId="4" borderId="10" xfId="5" applyFont="1" applyFill="1" applyBorder="1" applyAlignment="1" applyProtection="1">
      <alignment horizontal="center" vertical="center"/>
    </xf>
    <xf numFmtId="0" fontId="1" fillId="4" borderId="12" xfId="5" applyFont="1" applyFill="1" applyBorder="1" applyAlignment="1" applyProtection="1">
      <alignment horizontal="center" vertical="center"/>
    </xf>
    <xf numFmtId="0" fontId="1" fillId="4" borderId="10" xfId="5" applyFont="1" applyFill="1" applyBorder="1" applyAlignment="1" applyProtection="1">
      <alignment horizontal="center" vertical="center" wrapText="1"/>
    </xf>
    <xf numFmtId="0" fontId="1" fillId="4" borderId="12" xfId="5" applyFont="1" applyFill="1" applyBorder="1" applyAlignment="1" applyProtection="1">
      <alignment horizontal="center" vertical="center" wrapText="1"/>
    </xf>
    <xf numFmtId="0" fontId="4" fillId="13" borderId="1" xfId="5" applyFont="1" applyFill="1" applyBorder="1" applyAlignment="1" applyProtection="1">
      <alignment horizontal="left" vertical="center" wrapText="1"/>
    </xf>
    <xf numFmtId="0" fontId="4" fillId="13" borderId="0" xfId="5" applyFont="1" applyFill="1" applyBorder="1" applyAlignment="1" applyProtection="1">
      <alignment horizontal="left" vertical="center" wrapText="1"/>
    </xf>
    <xf numFmtId="0" fontId="11" fillId="14" borderId="16" xfId="5" applyFont="1" applyFill="1" applyBorder="1" applyAlignment="1" applyProtection="1">
      <alignment horizontal="center" vertical="center" wrapText="1"/>
    </xf>
    <xf numFmtId="0" fontId="11" fillId="14" borderId="17" xfId="5" applyFont="1" applyFill="1" applyBorder="1" applyAlignment="1" applyProtection="1">
      <alignment horizontal="center" vertical="center" wrapText="1"/>
    </xf>
    <xf numFmtId="0" fontId="1" fillId="2" borderId="16" xfId="5" applyFont="1" applyFill="1" applyBorder="1" applyAlignment="1" applyProtection="1">
      <alignment horizontal="center" vertical="center"/>
    </xf>
    <xf numFmtId="0" fontId="1" fillId="2" borderId="18" xfId="5" applyFont="1" applyFill="1" applyBorder="1" applyAlignment="1" applyProtection="1">
      <alignment horizontal="center" vertical="center"/>
    </xf>
    <xf numFmtId="0" fontId="15" fillId="3" borderId="1" xfId="5" applyFont="1" applyFill="1" applyBorder="1" applyAlignment="1" applyProtection="1">
      <alignment horizontal="left" vertical="center" wrapText="1"/>
    </xf>
    <xf numFmtId="0" fontId="15" fillId="3" borderId="0" xfId="5" applyFont="1" applyFill="1" applyBorder="1" applyAlignment="1" applyProtection="1">
      <alignment horizontal="left" vertical="center" wrapText="1"/>
    </xf>
    <xf numFmtId="0" fontId="20" fillId="3" borderId="1" xfId="5" applyFont="1" applyFill="1" applyBorder="1" applyAlignment="1" applyProtection="1">
      <alignment horizontal="center" vertical="center" wrapText="1"/>
    </xf>
    <xf numFmtId="0" fontId="20" fillId="3" borderId="0" xfId="5" applyFont="1" applyFill="1" applyBorder="1" applyAlignment="1" applyProtection="1">
      <alignment horizontal="center" vertical="center" wrapText="1"/>
    </xf>
    <xf numFmtId="0" fontId="5" fillId="15" borderId="1" xfId="1" applyFont="1" applyFill="1" applyBorder="1" applyAlignment="1" applyProtection="1">
      <alignment vertical="center" wrapText="1"/>
    </xf>
    <xf numFmtId="0" fontId="5" fillId="15" borderId="0" xfId="1" applyFont="1" applyFill="1" applyBorder="1" applyAlignment="1" applyProtection="1">
      <alignment vertical="center" wrapText="1"/>
    </xf>
    <xf numFmtId="0" fontId="5" fillId="15" borderId="2" xfId="1" applyFont="1" applyFill="1" applyBorder="1" applyAlignment="1" applyProtection="1">
      <alignment vertical="center" wrapText="1"/>
    </xf>
    <xf numFmtId="0" fontId="15" fillId="12" borderId="1" xfId="1" applyFont="1" applyFill="1" applyBorder="1" applyAlignment="1" applyProtection="1">
      <alignment horizontal="left" vertical="center" wrapText="1" indent="1"/>
    </xf>
    <xf numFmtId="0" fontId="15" fillId="12" borderId="0" xfId="1" applyFont="1" applyFill="1" applyBorder="1" applyAlignment="1" applyProtection="1">
      <alignment horizontal="left" vertical="center" wrapText="1" indent="1"/>
    </xf>
    <xf numFmtId="0" fontId="15" fillId="12" borderId="2" xfId="1" applyFont="1" applyFill="1" applyBorder="1" applyAlignment="1" applyProtection="1">
      <alignment horizontal="left" vertical="center" wrapText="1" indent="1"/>
    </xf>
    <xf numFmtId="0" fontId="5" fillId="15" borderId="1" xfId="1" applyFont="1" applyFill="1" applyBorder="1" applyAlignment="1" applyProtection="1">
      <alignment horizontal="left" vertical="center" wrapText="1"/>
    </xf>
    <xf numFmtId="0" fontId="5" fillId="15" borderId="0" xfId="1" applyFont="1" applyFill="1" applyBorder="1" applyAlignment="1" applyProtection="1">
      <alignment horizontal="left" vertical="center" wrapText="1"/>
    </xf>
    <xf numFmtId="0" fontId="5" fillId="15" borderId="2" xfId="1" applyFont="1" applyFill="1" applyBorder="1" applyAlignment="1" applyProtection="1">
      <alignment horizontal="left" vertical="center" wrapText="1"/>
    </xf>
    <xf numFmtId="0" fontId="3" fillId="7" borderId="5" xfId="1" applyFont="1" applyFill="1" applyBorder="1" applyAlignment="1" applyProtection="1">
      <alignment horizontal="left" indent="1"/>
    </xf>
    <xf numFmtId="0" fontId="3" fillId="7" borderId="6" xfId="1" applyFont="1" applyFill="1" applyBorder="1" applyAlignment="1" applyProtection="1">
      <alignment horizontal="left" indent="1"/>
    </xf>
    <xf numFmtId="0" fontId="3" fillId="7" borderId="7" xfId="1" applyFont="1" applyFill="1" applyBorder="1" applyAlignment="1" applyProtection="1">
      <alignment horizontal="left" indent="1"/>
    </xf>
    <xf numFmtId="0" fontId="5" fillId="0" borderId="1" xfId="1" applyFont="1" applyFill="1" applyBorder="1" applyAlignment="1" applyProtection="1">
      <alignment horizontal="left" vertical="center" wrapText="1" indent="1"/>
    </xf>
    <xf numFmtId="0" fontId="5" fillId="0" borderId="0" xfId="1" applyFont="1" applyFill="1" applyBorder="1" applyAlignment="1" applyProtection="1">
      <alignment horizontal="left" vertical="center" wrapText="1" indent="1"/>
    </xf>
    <xf numFmtId="0" fontId="5" fillId="0" borderId="2" xfId="1" applyFont="1" applyFill="1" applyBorder="1" applyAlignment="1" applyProtection="1">
      <alignment horizontal="left" vertical="center" wrapText="1" indent="1"/>
    </xf>
    <xf numFmtId="0" fontId="1" fillId="2" borderId="8" xfId="0" applyFont="1" applyFill="1" applyBorder="1" applyAlignment="1" applyProtection="1">
      <alignment horizontal="center" vertical="center"/>
    </xf>
    <xf numFmtId="0" fontId="1" fillId="2" borderId="9" xfId="0" applyFont="1" applyFill="1" applyBorder="1" applyAlignment="1" applyProtection="1">
      <alignment horizontal="center" vertical="center"/>
    </xf>
    <xf numFmtId="0" fontId="1" fillId="2" borderId="11" xfId="0" applyFont="1" applyFill="1" applyBorder="1" applyAlignment="1" applyProtection="1">
      <alignment horizontal="center" vertical="center"/>
    </xf>
    <xf numFmtId="0" fontId="15" fillId="0" borderId="1" xfId="1" applyFont="1" applyFill="1" applyBorder="1" applyAlignment="1" applyProtection="1">
      <alignment horizontal="left" vertical="center" wrapText="1" indent="1"/>
    </xf>
    <xf numFmtId="0" fontId="15" fillId="0" borderId="0" xfId="1" applyFont="1" applyFill="1" applyBorder="1" applyAlignment="1" applyProtection="1">
      <alignment horizontal="left" vertical="center" wrapText="1" indent="1"/>
    </xf>
    <xf numFmtId="0" fontId="15" fillId="0" borderId="2" xfId="1" applyFont="1" applyFill="1" applyBorder="1" applyAlignment="1" applyProtection="1">
      <alignment horizontal="left" vertical="center" wrapText="1" indent="1"/>
    </xf>
    <xf numFmtId="0" fontId="32" fillId="16" borderId="1" xfId="1" applyFont="1" applyFill="1" applyBorder="1" applyAlignment="1" applyProtection="1">
      <alignment horizontal="center" vertical="center" wrapText="1"/>
    </xf>
    <xf numFmtId="0" fontId="32" fillId="16" borderId="0" xfId="1" applyFont="1" applyFill="1" applyBorder="1" applyAlignment="1" applyProtection="1">
      <alignment horizontal="center" vertical="center" wrapText="1"/>
    </xf>
    <xf numFmtId="0" fontId="32" fillId="16" borderId="2" xfId="1" applyFont="1" applyFill="1" applyBorder="1" applyAlignment="1" applyProtection="1">
      <alignment horizontal="center" vertical="center" wrapText="1"/>
    </xf>
    <xf numFmtId="0" fontId="32" fillId="7" borderId="1" xfId="1" applyFont="1" applyFill="1" applyBorder="1" applyAlignment="1" applyProtection="1">
      <alignment horizontal="center" vertical="center" wrapText="1"/>
    </xf>
    <xf numFmtId="0" fontId="32" fillId="7" borderId="0" xfId="1" applyFont="1" applyFill="1" applyBorder="1" applyAlignment="1" applyProtection="1">
      <alignment horizontal="center" vertical="center" wrapText="1"/>
    </xf>
    <xf numFmtId="0" fontId="32" fillId="7" borderId="2" xfId="1" applyFont="1" applyFill="1" applyBorder="1" applyAlignment="1" applyProtection="1">
      <alignment horizontal="center" vertical="center" wrapText="1"/>
    </xf>
    <xf numFmtId="0" fontId="12" fillId="0" borderId="1" xfId="1" applyFont="1" applyFill="1" applyBorder="1" applyAlignment="1" applyProtection="1">
      <alignment horizontal="left" vertical="center" wrapText="1" indent="1"/>
    </xf>
    <xf numFmtId="0" fontId="12" fillId="0" borderId="0" xfId="1" applyFont="1" applyFill="1" applyBorder="1" applyAlignment="1" applyProtection="1">
      <alignment horizontal="left" vertical="center" wrapText="1" indent="1"/>
    </xf>
    <xf numFmtId="0" fontId="12" fillId="0" borderId="2" xfId="1" applyFont="1" applyFill="1" applyBorder="1" applyAlignment="1" applyProtection="1">
      <alignment horizontal="left" vertical="center" wrapText="1" indent="1"/>
    </xf>
    <xf numFmtId="49" fontId="3" fillId="6" borderId="22" xfId="1" applyNumberFormat="1" applyFont="1" applyFill="1" applyBorder="1" applyAlignment="1" applyProtection="1">
      <alignment horizontal="left" vertical="center" indent="1"/>
      <protection locked="0"/>
    </xf>
    <xf numFmtId="49" fontId="3" fillId="6" borderId="62" xfId="1" applyNumberFormat="1" applyFont="1" applyFill="1" applyBorder="1" applyAlignment="1" applyProtection="1">
      <alignment horizontal="left" vertical="center" indent="1"/>
      <protection locked="0"/>
    </xf>
    <xf numFmtId="49" fontId="3" fillId="6" borderId="56" xfId="1" applyNumberFormat="1" applyFont="1" applyFill="1" applyBorder="1" applyAlignment="1" applyProtection="1">
      <alignment horizontal="left" vertical="center" indent="1"/>
      <protection locked="0"/>
    </xf>
    <xf numFmtId="49" fontId="3" fillId="6" borderId="65" xfId="1" applyNumberFormat="1" applyFont="1" applyFill="1" applyBorder="1" applyAlignment="1" applyProtection="1">
      <alignment horizontal="left" vertical="center" indent="1"/>
      <protection locked="0"/>
    </xf>
    <xf numFmtId="49" fontId="3" fillId="6" borderId="66" xfId="1" applyNumberFormat="1" applyFont="1" applyFill="1" applyBorder="1" applyAlignment="1" applyProtection="1">
      <alignment horizontal="left" vertical="center" indent="1"/>
      <protection locked="0"/>
    </xf>
    <xf numFmtId="49" fontId="3" fillId="6" borderId="23" xfId="1" applyNumberFormat="1" applyFont="1" applyFill="1" applyBorder="1" applyAlignment="1" applyProtection="1">
      <alignment horizontal="left" vertical="center" indent="1"/>
      <protection locked="0"/>
    </xf>
    <xf numFmtId="0" fontId="28" fillId="13" borderId="1" xfId="1" applyFont="1" applyFill="1" applyBorder="1" applyAlignment="1" applyProtection="1">
      <alignment horizontal="left" vertical="center" wrapText="1" indent="1"/>
    </xf>
    <xf numFmtId="0" fontId="28" fillId="13" borderId="0" xfId="1" applyFont="1" applyFill="1" applyBorder="1" applyAlignment="1" applyProtection="1">
      <alignment horizontal="left" vertical="center" wrapText="1" indent="1"/>
    </xf>
    <xf numFmtId="0" fontId="28" fillId="13" borderId="2" xfId="1" applyFont="1" applyFill="1" applyBorder="1" applyAlignment="1" applyProtection="1">
      <alignment horizontal="left" vertical="center" wrapText="1" indent="1"/>
    </xf>
    <xf numFmtId="0" fontId="5" fillId="2" borderId="6" xfId="1" applyFont="1" applyFill="1" applyBorder="1" applyAlignment="1" applyProtection="1">
      <alignment horizontal="center" vertical="center" wrapText="1"/>
    </xf>
    <xf numFmtId="0" fontId="5" fillId="15" borderId="8" xfId="1" applyFont="1" applyFill="1" applyBorder="1" applyAlignment="1" applyProtection="1">
      <alignment horizontal="center" vertical="center"/>
    </xf>
    <xf numFmtId="0" fontId="5" fillId="15" borderId="9" xfId="1" applyFont="1" applyFill="1" applyBorder="1" applyAlignment="1" applyProtection="1">
      <alignment horizontal="center" vertical="center"/>
    </xf>
    <xf numFmtId="0" fontId="5" fillId="15" borderId="11" xfId="1" applyFont="1" applyFill="1" applyBorder="1" applyAlignment="1" applyProtection="1">
      <alignment horizontal="center" vertical="center"/>
    </xf>
    <xf numFmtId="49" fontId="3" fillId="6" borderId="19" xfId="1" applyNumberFormat="1" applyFont="1" applyFill="1" applyBorder="1" applyAlignment="1" applyProtection="1">
      <alignment horizontal="left" vertical="center" indent="1"/>
      <protection locked="0"/>
    </xf>
    <xf numFmtId="49" fontId="3" fillId="6" borderId="27" xfId="1" applyNumberFormat="1" applyFont="1" applyFill="1" applyBorder="1" applyAlignment="1" applyProtection="1">
      <alignment horizontal="left" vertical="center" indent="1"/>
      <protection locked="0"/>
    </xf>
    <xf numFmtId="49" fontId="3" fillId="6" borderId="28" xfId="1" applyNumberFormat="1" applyFont="1" applyFill="1" applyBorder="1" applyAlignment="1" applyProtection="1">
      <alignment horizontal="left" vertical="center" indent="1"/>
      <protection locked="0"/>
    </xf>
    <xf numFmtId="0" fontId="15" fillId="17" borderId="1" xfId="1" applyFont="1" applyFill="1" applyBorder="1" applyAlignment="1" applyProtection="1">
      <alignment horizontal="left" vertical="center" indent="1"/>
    </xf>
    <xf numFmtId="0" fontId="15" fillId="17" borderId="0" xfId="1" applyFont="1" applyFill="1" applyBorder="1" applyAlignment="1" applyProtection="1">
      <alignment horizontal="left" vertical="center" indent="1"/>
    </xf>
    <xf numFmtId="0" fontId="15" fillId="17" borderId="2" xfId="1" applyFont="1" applyFill="1" applyBorder="1" applyAlignment="1" applyProtection="1">
      <alignment horizontal="left" vertical="center" indent="1"/>
    </xf>
    <xf numFmtId="0" fontId="5" fillId="23" borderId="1" xfId="1" applyFont="1" applyFill="1" applyBorder="1" applyAlignment="1" applyProtection="1">
      <alignment horizontal="left" vertical="center" indent="1"/>
    </xf>
    <xf numFmtId="0" fontId="5" fillId="23" borderId="0" xfId="1" applyFont="1" applyFill="1" applyBorder="1" applyAlignment="1" applyProtection="1">
      <alignment horizontal="left" vertical="center" indent="1"/>
    </xf>
    <xf numFmtId="0" fontId="5" fillId="23" borderId="2" xfId="1" applyFont="1" applyFill="1" applyBorder="1" applyAlignment="1" applyProtection="1">
      <alignment horizontal="left" vertical="center" indent="1"/>
    </xf>
    <xf numFmtId="0" fontId="37" fillId="18" borderId="9" xfId="0" applyFont="1" applyFill="1" applyBorder="1" applyAlignment="1" applyProtection="1">
      <alignment horizontal="center" vertical="center"/>
    </xf>
    <xf numFmtId="0" fontId="37" fillId="18" borderId="11" xfId="0" applyFont="1" applyFill="1" applyBorder="1" applyAlignment="1" applyProtection="1">
      <alignment horizontal="center" vertical="center"/>
    </xf>
    <xf numFmtId="0" fontId="35" fillId="7" borderId="3" xfId="0" applyFont="1" applyFill="1" applyBorder="1" applyAlignment="1" applyProtection="1">
      <alignment horizontal="center" vertical="center"/>
    </xf>
    <xf numFmtId="0" fontId="35" fillId="7" borderId="11" xfId="0" applyFont="1" applyFill="1" applyBorder="1" applyAlignment="1" applyProtection="1">
      <alignment horizontal="center" vertical="center"/>
    </xf>
    <xf numFmtId="0" fontId="20" fillId="4" borderId="8" xfId="0" applyFont="1" applyFill="1" applyBorder="1" applyAlignment="1" applyProtection="1">
      <alignment horizontal="center" vertical="center"/>
    </xf>
    <xf numFmtId="0" fontId="20" fillId="4" borderId="9" xfId="0" applyFont="1" applyFill="1" applyBorder="1" applyAlignment="1" applyProtection="1">
      <alignment horizontal="center" vertical="center"/>
    </xf>
    <xf numFmtId="0" fontId="20" fillId="4" borderId="11" xfId="0" applyFont="1" applyFill="1" applyBorder="1" applyAlignment="1" applyProtection="1">
      <alignment horizontal="center" vertical="center"/>
    </xf>
  </cellXfs>
  <cellStyles count="6">
    <cellStyle name="Hyperlink" xfId="2" builtinId="8"/>
    <cellStyle name="Normal" xfId="0" builtinId="0"/>
    <cellStyle name="Normal 2" xfId="5" xr:uid="{00000000-0005-0000-0000-000002000000}"/>
    <cellStyle name="Normal 2 2" xfId="4" xr:uid="{00000000-0005-0000-0000-000003000000}"/>
    <cellStyle name="Normal 4" xfId="3" xr:uid="{00000000-0005-0000-0000-000004000000}"/>
    <cellStyle name="Normal_OFFA10wkb 2" xfId="1" xr:uid="{00000000-0005-0000-0000-000006000000}"/>
  </cellStyles>
  <dxfs count="64">
    <dxf>
      <font>
        <b/>
        <i/>
        <color rgb="FFFF0000"/>
      </font>
      <fill>
        <patternFill>
          <bgColor theme="5" tint="0.59996337778862885"/>
        </patternFill>
      </fill>
    </dxf>
    <dxf>
      <fill>
        <patternFill>
          <bgColor theme="9" tint="0.59996337778862885"/>
        </patternFill>
      </fill>
    </dxf>
    <dxf>
      <font>
        <b/>
        <i/>
        <color rgb="FFFF0000"/>
      </font>
      <fill>
        <patternFill>
          <bgColor theme="5" tint="0.59996337778862885"/>
        </patternFill>
      </fill>
    </dxf>
    <dxf>
      <font>
        <b/>
        <i val="0"/>
        <color rgb="FFFF0000"/>
      </font>
    </dxf>
    <dxf>
      <font>
        <b/>
        <i val="0"/>
        <color auto="1"/>
      </font>
      <fill>
        <patternFill patternType="gray125">
          <fgColor rgb="FFFF8989"/>
          <bgColor theme="5" tint="0.59996337778862885"/>
        </patternFill>
      </fill>
    </dxf>
    <dxf>
      <fill>
        <patternFill>
          <bgColor theme="9" tint="0.39994506668294322"/>
        </patternFill>
      </fill>
    </dxf>
    <dxf>
      <font>
        <b/>
        <i/>
        <color rgb="FFFF0000"/>
      </font>
      <fill>
        <patternFill>
          <bgColor theme="5" tint="0.59996337778862885"/>
        </patternFill>
      </fill>
    </dxf>
    <dxf>
      <font>
        <b/>
        <i val="0"/>
        <color theme="4" tint="-0.24994659260841701"/>
      </font>
    </dxf>
    <dxf>
      <font>
        <b/>
        <i/>
        <color rgb="FFFF0000"/>
      </font>
      <fill>
        <patternFill>
          <bgColor theme="5" tint="0.59996337778862885"/>
        </patternFill>
      </fill>
    </dxf>
    <dxf>
      <font>
        <b/>
        <i val="0"/>
        <color auto="1"/>
      </font>
      <fill>
        <patternFill patternType="gray125">
          <fgColor rgb="FFFF8989"/>
          <bgColor theme="5" tint="0.59996337778862885"/>
        </patternFill>
      </fill>
    </dxf>
    <dxf>
      <font>
        <b/>
        <i val="0"/>
        <color rgb="FF008A3E"/>
      </font>
    </dxf>
    <dxf>
      <font>
        <b/>
        <i/>
        <color rgb="FFFF0000"/>
      </font>
      <fill>
        <patternFill>
          <bgColor theme="5" tint="0.59996337778862885"/>
        </patternFill>
      </fill>
    </dxf>
    <dxf>
      <font>
        <b/>
        <i/>
        <color rgb="FFFF0000"/>
      </font>
    </dxf>
    <dxf>
      <font>
        <b/>
        <i/>
        <color rgb="FFFF0000"/>
      </font>
    </dxf>
    <dxf>
      <font>
        <b/>
        <i val="0"/>
        <color rgb="FFFF0000"/>
      </font>
    </dxf>
    <dxf>
      <fill>
        <patternFill>
          <bgColor theme="9" tint="0.59996337778862885"/>
        </patternFill>
      </fill>
    </dxf>
    <dxf>
      <font>
        <b/>
        <i/>
        <color rgb="FFFF0000"/>
      </font>
      <fill>
        <patternFill>
          <bgColor theme="5" tint="0.59996337778862885"/>
        </patternFill>
      </fill>
    </dxf>
    <dxf>
      <font>
        <b/>
        <i/>
        <color rgb="FFFF0000"/>
      </font>
      <fill>
        <patternFill>
          <bgColor theme="5" tint="0.59996337778862885"/>
        </patternFill>
      </fill>
    </dxf>
    <dxf>
      <font>
        <b/>
        <i/>
        <color rgb="FFFF0000"/>
      </font>
      <fill>
        <patternFill>
          <bgColor theme="5" tint="0.59996337778862885"/>
        </patternFill>
      </fill>
    </dxf>
    <dxf>
      <font>
        <b/>
        <i/>
        <color rgb="FFFF0000"/>
      </font>
    </dxf>
    <dxf>
      <font>
        <b/>
        <i/>
        <color rgb="FFFF0000"/>
      </font>
      <fill>
        <patternFill patternType="solid">
          <fgColor auto="1"/>
          <bgColor theme="5" tint="0.59996337778862885"/>
        </patternFill>
      </fill>
    </dxf>
    <dxf>
      <font>
        <b/>
        <i/>
        <color rgb="FFFF0000"/>
      </font>
      <fill>
        <patternFill patternType="solid">
          <fgColor auto="1"/>
          <bgColor theme="5" tint="0.59996337778862885"/>
        </patternFill>
      </fill>
    </dxf>
    <dxf>
      <font>
        <color theme="0"/>
      </font>
    </dxf>
    <dxf>
      <font>
        <b/>
        <i/>
        <color rgb="FFFF0000"/>
      </font>
      <fill>
        <patternFill>
          <bgColor theme="5" tint="0.59996337778862885"/>
        </patternFill>
      </fill>
    </dxf>
    <dxf>
      <font>
        <b/>
        <i val="0"/>
      </font>
    </dxf>
    <dxf>
      <font>
        <b/>
        <i val="0"/>
      </font>
    </dxf>
    <dxf>
      <font>
        <color rgb="FF9C0006"/>
      </font>
      <fill>
        <patternFill>
          <bgColor rgb="FFFFC7CE"/>
        </patternFill>
      </fill>
    </dxf>
    <dxf>
      <font>
        <b/>
        <i val="0"/>
      </font>
    </dxf>
    <dxf>
      <font>
        <b/>
        <i val="0"/>
      </font>
      <fill>
        <patternFill>
          <bgColor theme="9" tint="0.59996337778862885"/>
        </patternFill>
      </fill>
      <border>
        <left style="thin">
          <color auto="1"/>
        </left>
        <right style="thin">
          <color auto="1"/>
        </right>
        <top style="thin">
          <color auto="1"/>
        </top>
        <bottom style="thin">
          <color auto="1"/>
        </bottom>
      </border>
    </dxf>
    <dxf>
      <font>
        <b/>
        <i val="0"/>
      </font>
      <fill>
        <patternFill>
          <bgColor theme="9" tint="0.59996337778862885"/>
        </patternFill>
      </fill>
      <border>
        <left style="thin">
          <color auto="1"/>
        </left>
        <right style="thin">
          <color auto="1"/>
        </right>
        <top style="thin">
          <color auto="1"/>
        </top>
        <bottom style="thin">
          <color auto="1"/>
        </bottom>
      </border>
    </dxf>
    <dxf>
      <font>
        <b/>
        <i val="0"/>
      </font>
      <fill>
        <patternFill>
          <bgColor theme="9" tint="0.59996337778862885"/>
        </patternFill>
      </fill>
      <border>
        <left style="thin">
          <color auto="1"/>
        </left>
        <right style="thin">
          <color auto="1"/>
        </right>
        <top style="thin">
          <color auto="1"/>
        </top>
        <bottom style="thin">
          <color auto="1"/>
        </bottom>
        <vertical/>
        <horizontal/>
      </border>
    </dxf>
    <dxf>
      <font>
        <b/>
        <i val="0"/>
      </font>
      <fill>
        <patternFill>
          <bgColor theme="9" tint="0.59996337778862885"/>
        </patternFill>
      </fill>
      <border>
        <left style="thin">
          <color auto="1"/>
        </left>
        <right style="thin">
          <color auto="1"/>
        </right>
        <top style="thin">
          <color auto="1"/>
        </top>
        <bottom style="thin">
          <color auto="1"/>
        </bottom>
        <vertical/>
        <horizontal/>
      </border>
    </dxf>
    <dxf>
      <font>
        <b/>
        <i val="0"/>
      </font>
      <fill>
        <patternFill>
          <bgColor theme="9" tint="0.59996337778862885"/>
        </patternFill>
      </fill>
      <border>
        <left style="thin">
          <color auto="1"/>
        </left>
        <right style="thin">
          <color auto="1"/>
        </right>
        <top style="thin">
          <color auto="1"/>
        </top>
        <bottom style="thin">
          <color auto="1"/>
        </bottom>
        <vertical/>
        <horizontal/>
      </border>
    </dxf>
    <dxf>
      <font>
        <b/>
        <i val="0"/>
        <color theme="4"/>
      </font>
    </dxf>
    <dxf>
      <font>
        <b/>
        <i val="0"/>
        <color rgb="FF00B050"/>
      </font>
    </dxf>
    <dxf>
      <font>
        <b/>
        <i/>
        <color rgb="FFFF0000"/>
      </font>
      <fill>
        <patternFill patternType="gray125">
          <fgColor rgb="FFFF8989"/>
          <bgColor theme="5" tint="0.79998168889431442"/>
        </patternFill>
      </fill>
    </dxf>
    <dxf>
      <font>
        <b/>
        <i/>
        <color rgb="FFFF0000"/>
      </font>
      <fill>
        <patternFill>
          <bgColor theme="5" tint="0.59996337778862885"/>
        </patternFill>
      </fill>
    </dxf>
    <dxf>
      <font>
        <b/>
        <i/>
        <color rgb="FFFF0000"/>
      </font>
      <fill>
        <patternFill>
          <bgColor theme="5" tint="0.59996337778862885"/>
        </patternFill>
      </fill>
    </dxf>
    <dxf>
      <font>
        <b/>
        <i/>
        <color rgb="FFFF0000"/>
      </font>
    </dxf>
    <dxf>
      <font>
        <b/>
        <i val="0"/>
        <color rgb="FF7030A0"/>
      </font>
    </dxf>
    <dxf>
      <font>
        <b/>
        <i/>
        <color rgb="FFFF0000"/>
      </font>
      <fill>
        <patternFill>
          <bgColor theme="5" tint="0.59996337778862885"/>
        </patternFill>
      </fill>
    </dxf>
    <dxf>
      <font>
        <b/>
        <i/>
        <color rgb="FFFF0000"/>
      </font>
      <fill>
        <patternFill patternType="gray125">
          <fgColor rgb="FFFF8989"/>
          <bgColor theme="5" tint="0.79998168889431442"/>
        </patternFill>
      </fill>
    </dxf>
    <dxf>
      <font>
        <b/>
        <i/>
        <color rgb="FFFF0000"/>
      </font>
      <fill>
        <patternFill>
          <bgColor theme="5" tint="0.59996337778862885"/>
        </patternFill>
      </fill>
    </dxf>
    <dxf>
      <font>
        <b/>
        <i/>
        <color rgb="FFFF0000"/>
      </font>
      <fill>
        <patternFill patternType="lightGray">
          <fgColor rgb="FFFF8989"/>
        </patternFill>
      </fill>
    </dxf>
    <dxf>
      <font>
        <b/>
        <i/>
        <color rgb="FFFF0000"/>
      </font>
      <fill>
        <patternFill patternType="lightGray">
          <fgColor rgb="FFFF8989"/>
        </patternFill>
      </fill>
    </dxf>
    <dxf>
      <font>
        <b/>
        <i/>
        <color rgb="FFFF0000"/>
      </font>
    </dxf>
    <dxf>
      <font>
        <b/>
        <i val="0"/>
        <color theme="4" tint="-0.24994659260841701"/>
      </font>
    </dxf>
    <dxf>
      <font>
        <b/>
        <i/>
        <color rgb="FFFF0000"/>
      </font>
    </dxf>
    <dxf>
      <font>
        <b/>
        <i val="0"/>
        <color rgb="FF7030A0"/>
      </font>
    </dxf>
    <dxf>
      <fill>
        <patternFill>
          <bgColor theme="1" tint="0.499984740745262"/>
        </patternFill>
      </fill>
    </dxf>
    <dxf>
      <font>
        <b/>
        <i/>
        <color rgb="FFFF0000"/>
      </font>
      <fill>
        <patternFill>
          <bgColor theme="5" tint="0.59996337778862885"/>
        </patternFill>
      </fill>
    </dxf>
    <dxf>
      <fill>
        <patternFill>
          <bgColor theme="5" tint="0.59996337778862885"/>
        </patternFill>
      </fill>
    </dxf>
    <dxf>
      <font>
        <b/>
        <i/>
        <color rgb="FFFF0000"/>
      </font>
      <fill>
        <patternFill>
          <bgColor theme="5" tint="0.59996337778862885"/>
        </patternFill>
      </fill>
    </dxf>
    <dxf>
      <font>
        <b/>
        <i val="0"/>
        <color theme="4"/>
      </font>
    </dxf>
    <dxf>
      <font>
        <b/>
        <i val="0"/>
        <color rgb="FF00B050"/>
      </font>
    </dxf>
    <dxf>
      <font>
        <b/>
        <i/>
        <color rgb="FFFF0000"/>
      </font>
      <fill>
        <patternFill patternType="gray125">
          <fgColor rgb="FFFF8989"/>
          <bgColor theme="5" tint="0.79998168889431442"/>
        </patternFill>
      </fill>
    </dxf>
    <dxf>
      <font>
        <b/>
        <i/>
        <color rgb="FFFF0000"/>
      </font>
      <fill>
        <patternFill>
          <bgColor theme="5" tint="0.59996337778862885"/>
        </patternFill>
      </fill>
    </dxf>
    <dxf>
      <font>
        <b/>
        <i/>
        <color rgb="FFFF0000"/>
      </font>
    </dxf>
    <dxf>
      <font>
        <b/>
        <i val="0"/>
        <color theme="4" tint="-0.24994659260841701"/>
      </font>
    </dxf>
    <dxf>
      <font>
        <b/>
        <i/>
        <color rgb="FFFF0000"/>
      </font>
      <fill>
        <patternFill patternType="gray125">
          <fgColor rgb="FFFF8989"/>
          <bgColor theme="5" tint="0.79998168889431442"/>
        </patternFill>
      </fill>
    </dxf>
    <dxf>
      <font>
        <b/>
        <i val="0"/>
        <color rgb="FF7030A0"/>
      </font>
    </dxf>
    <dxf>
      <font>
        <b/>
        <i/>
        <color rgb="FFFF0000"/>
      </font>
    </dxf>
    <dxf>
      <font>
        <b/>
        <i/>
        <color rgb="FFFF0000"/>
      </font>
      <fill>
        <patternFill>
          <bgColor theme="5" tint="0.59996337778862885"/>
        </patternFill>
      </fill>
    </dxf>
    <dxf>
      <fill>
        <patternFill>
          <bgColor theme="9" tint="0.59996337778862885"/>
        </patternFill>
      </fill>
    </dxf>
  </dxfs>
  <tableStyles count="0" defaultTableStyle="TableStyleMedium2" defaultPivotStyle="PivotStyleLight16"/>
  <colors>
    <mruColors>
      <color rgb="FFFF9999"/>
      <color rgb="FF57CD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ukrlp.co.uk/"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ukrlp.co.uk/"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4"/>
  <sheetViews>
    <sheetView zoomScaleNormal="100" workbookViewId="0">
      <selection activeCell="D19" sqref="D19"/>
    </sheetView>
  </sheetViews>
  <sheetFormatPr defaultColWidth="0" defaultRowHeight="12.75" zeroHeight="1" x14ac:dyDescent="0.2"/>
  <cols>
    <col min="1" max="1" width="20" style="32" customWidth="1"/>
    <col min="2" max="2" width="12.28515625" style="32" customWidth="1"/>
    <col min="3" max="4" width="40.7109375" style="32" customWidth="1"/>
    <col min="5" max="5" width="12.7109375" style="32" customWidth="1"/>
    <col min="6" max="6" width="18.85546875" style="57" hidden="1" customWidth="1"/>
    <col min="7" max="7" width="12.28515625" style="32" hidden="1" customWidth="1"/>
    <col min="8" max="16384" width="9.140625" style="35" hidden="1"/>
  </cols>
  <sheetData>
    <row r="1" spans="1:7" s="340" customFormat="1" ht="49.5" customHeight="1" x14ac:dyDescent="0.25">
      <c r="A1" s="543" t="s">
        <v>492</v>
      </c>
      <c r="B1" s="544"/>
      <c r="C1" s="544"/>
      <c r="D1" s="544"/>
      <c r="E1" s="545"/>
      <c r="F1" s="292" t="s">
        <v>31</v>
      </c>
      <c r="G1" s="24"/>
    </row>
    <row r="2" spans="1:7" s="341" customFormat="1" ht="18.75" customHeight="1" x14ac:dyDescent="0.25">
      <c r="A2" s="573" t="s">
        <v>579</v>
      </c>
      <c r="B2" s="574"/>
      <c r="C2" s="574"/>
      <c r="D2" s="574"/>
      <c r="E2" s="575"/>
      <c r="F2" s="292"/>
      <c r="G2" s="26"/>
    </row>
    <row r="3" spans="1:7" s="341" customFormat="1" ht="18.75" customHeight="1" x14ac:dyDescent="0.25">
      <c r="A3" s="576" t="s">
        <v>578</v>
      </c>
      <c r="B3" s="577"/>
      <c r="C3" s="577"/>
      <c r="D3" s="577"/>
      <c r="E3" s="578"/>
      <c r="F3" s="292"/>
      <c r="G3" s="26"/>
    </row>
    <row r="4" spans="1:7" s="341" customFormat="1" ht="18.75" hidden="1" customHeight="1" x14ac:dyDescent="0.25">
      <c r="A4" s="59" t="s">
        <v>32</v>
      </c>
      <c r="B4" s="567"/>
      <c r="C4" s="568"/>
      <c r="D4" s="568"/>
      <c r="E4" s="569"/>
      <c r="F4" s="292"/>
      <c r="G4" s="26"/>
    </row>
    <row r="5" spans="1:7" s="341" customFormat="1" ht="18" hidden="1" customHeight="1" x14ac:dyDescent="0.25">
      <c r="A5" s="61" t="s">
        <v>33</v>
      </c>
      <c r="B5" s="570"/>
      <c r="C5" s="571"/>
      <c r="D5" s="571"/>
      <c r="E5" s="572"/>
      <c r="F5" s="292"/>
      <c r="G5" s="26"/>
    </row>
    <row r="6" spans="1:7" s="341" customFormat="1" ht="18" customHeight="1" x14ac:dyDescent="0.25">
      <c r="A6" s="511"/>
      <c r="B6" s="512"/>
      <c r="C6" s="512"/>
      <c r="D6" s="512"/>
      <c r="E6" s="513"/>
      <c r="F6" s="292"/>
      <c r="G6" s="26"/>
    </row>
    <row r="7" spans="1:7" ht="18.75" customHeight="1" x14ac:dyDescent="0.2">
      <c r="A7" s="549" t="s">
        <v>34</v>
      </c>
      <c r="B7" s="550"/>
      <c r="C7" s="550"/>
      <c r="D7" s="550"/>
      <c r="E7" s="551"/>
      <c r="F7" s="292"/>
      <c r="G7" s="26"/>
    </row>
    <row r="8" spans="1:7" ht="18.75" customHeight="1" x14ac:dyDescent="0.2">
      <c r="A8" s="552" t="s">
        <v>36</v>
      </c>
      <c r="B8" s="553"/>
      <c r="C8" s="553"/>
      <c r="D8" s="553"/>
      <c r="E8" s="554"/>
      <c r="F8" s="292"/>
      <c r="G8" s="34" t="str">
        <f>IF(COUNTBLANK(C16:D19)=0,"PASSED","FAILED")</f>
        <v>PASSED</v>
      </c>
    </row>
    <row r="9" spans="1:7" ht="18.75" hidden="1" customHeight="1" x14ac:dyDescent="0.2">
      <c r="A9" s="552" t="s">
        <v>37</v>
      </c>
      <c r="B9" s="553"/>
      <c r="C9" s="553"/>
      <c r="D9" s="553"/>
      <c r="E9" s="554"/>
      <c r="F9" s="292"/>
      <c r="G9" s="299" t="str">
        <f>IF(COUNTBLANK(E23:E24)=0,"PASSED","FAILED")</f>
        <v>FAILED</v>
      </c>
    </row>
    <row r="10" spans="1:7" ht="18.75" customHeight="1" x14ac:dyDescent="0.2">
      <c r="A10" s="38"/>
      <c r="B10" s="38"/>
      <c r="C10" s="38"/>
      <c r="D10" s="38"/>
      <c r="E10" s="39"/>
      <c r="F10" s="510"/>
      <c r="G10" s="24"/>
    </row>
    <row r="11" spans="1:7" ht="23.25" hidden="1" customHeight="1" x14ac:dyDescent="0.2">
      <c r="A11" s="36" t="s">
        <v>38</v>
      </c>
      <c r="B11" s="36"/>
      <c r="C11" s="36"/>
      <c r="D11" s="36"/>
      <c r="E11" s="391"/>
      <c r="F11" s="292"/>
      <c r="G11" s="24"/>
    </row>
    <row r="12" spans="1:7" ht="137.25" hidden="1" customHeight="1" x14ac:dyDescent="0.2">
      <c r="A12" s="555" t="s">
        <v>493</v>
      </c>
      <c r="B12" s="555"/>
      <c r="C12" s="555"/>
      <c r="D12" s="555"/>
      <c r="E12" s="556"/>
      <c r="F12" s="414"/>
      <c r="G12" s="24"/>
    </row>
    <row r="13" spans="1:7" s="340" customFormat="1" ht="18" customHeight="1" x14ac:dyDescent="0.25">
      <c r="A13" s="37"/>
      <c r="B13" s="38"/>
      <c r="C13" s="38"/>
      <c r="D13" s="38"/>
      <c r="E13" s="39"/>
      <c r="F13" s="292"/>
      <c r="G13" s="24"/>
    </row>
    <row r="14" spans="1:7" s="297" customFormat="1" ht="18" hidden="1" customHeight="1" x14ac:dyDescent="0.25">
      <c r="A14" s="40" t="s">
        <v>1</v>
      </c>
      <c r="B14" s="41"/>
      <c r="C14" s="42" t="s">
        <v>39</v>
      </c>
      <c r="D14" s="42" t="s">
        <v>40</v>
      </c>
      <c r="E14" s="392"/>
      <c r="F14" s="292" t="s">
        <v>41</v>
      </c>
      <c r="G14" s="44"/>
    </row>
    <row r="15" spans="1:7" s="340" customFormat="1" ht="18" customHeight="1" x14ac:dyDescent="0.25">
      <c r="A15" s="557"/>
      <c r="B15" s="558"/>
      <c r="C15" s="438" t="s">
        <v>42</v>
      </c>
      <c r="D15" s="58" t="s">
        <v>43</v>
      </c>
      <c r="E15" s="393"/>
      <c r="F15" s="292"/>
      <c r="G15" s="24"/>
    </row>
    <row r="16" spans="1:7" s="340" customFormat="1" ht="18" customHeight="1" x14ac:dyDescent="0.25">
      <c r="A16" s="45"/>
      <c r="B16" s="59" t="s">
        <v>44</v>
      </c>
      <c r="C16" s="439" t="s">
        <v>593</v>
      </c>
      <c r="D16" s="46" t="s">
        <v>597</v>
      </c>
      <c r="E16" s="393"/>
      <c r="F16" s="292" t="s">
        <v>45</v>
      </c>
      <c r="G16" s="24"/>
    </row>
    <row r="17" spans="1:7" s="340" customFormat="1" ht="18" customHeight="1" x14ac:dyDescent="0.25">
      <c r="A17" s="45"/>
      <c r="B17" s="60" t="s">
        <v>46</v>
      </c>
      <c r="C17" s="47" t="s">
        <v>594</v>
      </c>
      <c r="D17" s="48" t="s">
        <v>598</v>
      </c>
      <c r="E17" s="393"/>
      <c r="F17" s="292" t="s">
        <v>47</v>
      </c>
      <c r="G17" s="24"/>
    </row>
    <row r="18" spans="1:7" s="340" customFormat="1" ht="18" customHeight="1" x14ac:dyDescent="0.25">
      <c r="A18" s="45"/>
      <c r="B18" s="60" t="s">
        <v>48</v>
      </c>
      <c r="C18" s="437" t="s">
        <v>595</v>
      </c>
      <c r="D18" s="49" t="s">
        <v>599</v>
      </c>
      <c r="E18" s="393"/>
      <c r="F18" s="292" t="s">
        <v>49</v>
      </c>
      <c r="G18" s="24"/>
    </row>
    <row r="19" spans="1:7" s="340" customFormat="1" ht="18" customHeight="1" x14ac:dyDescent="0.25">
      <c r="A19" s="45"/>
      <c r="B19" s="61" t="s">
        <v>50</v>
      </c>
      <c r="C19" s="465" t="s">
        <v>596</v>
      </c>
      <c r="D19" s="466" t="s">
        <v>600</v>
      </c>
      <c r="E19" s="393"/>
      <c r="F19" s="292" t="s">
        <v>51</v>
      </c>
      <c r="G19" s="24"/>
    </row>
    <row r="20" spans="1:7" s="340" customFormat="1" ht="18" customHeight="1" x14ac:dyDescent="0.25">
      <c r="A20" s="45"/>
      <c r="B20" s="50"/>
      <c r="C20" s="51"/>
      <c r="D20" s="52"/>
      <c r="E20" s="393"/>
      <c r="F20" s="292"/>
      <c r="G20" s="24"/>
    </row>
    <row r="21" spans="1:7" s="340" customFormat="1" ht="16.5" hidden="1" customHeight="1" x14ac:dyDescent="0.25">
      <c r="A21" s="45"/>
      <c r="B21" s="50"/>
      <c r="C21" s="51"/>
      <c r="D21" s="52"/>
      <c r="E21" s="394" t="s">
        <v>52</v>
      </c>
      <c r="F21" s="292" t="s">
        <v>53</v>
      </c>
      <c r="G21" s="24"/>
    </row>
    <row r="22" spans="1:7" s="340" customFormat="1" ht="222" hidden="1" customHeight="1" x14ac:dyDescent="0.25">
      <c r="A22" s="559" t="s">
        <v>494</v>
      </c>
      <c r="B22" s="560"/>
      <c r="C22" s="560"/>
      <c r="D22" s="560"/>
      <c r="E22" s="560"/>
      <c r="F22" s="292"/>
      <c r="G22" s="24"/>
    </row>
    <row r="23" spans="1:7" s="340" customFormat="1" ht="18.75" hidden="1" customHeight="1" x14ac:dyDescent="0.25">
      <c r="A23" s="561" t="s">
        <v>54</v>
      </c>
      <c r="B23" s="561"/>
      <c r="C23" s="562"/>
      <c r="D23" s="53" t="s">
        <v>55</v>
      </c>
      <c r="E23" s="395"/>
      <c r="F23" s="292" t="s">
        <v>52</v>
      </c>
      <c r="G23" s="24"/>
    </row>
    <row r="24" spans="1:7" s="340" customFormat="1" ht="18.75" hidden="1" customHeight="1" x14ac:dyDescent="0.25">
      <c r="A24" s="563"/>
      <c r="B24" s="563"/>
      <c r="C24" s="564"/>
      <c r="D24" s="53" t="s">
        <v>43</v>
      </c>
      <c r="E24" s="395"/>
      <c r="F24" s="292" t="s">
        <v>56</v>
      </c>
      <c r="G24" s="24"/>
    </row>
    <row r="25" spans="1:7" s="340" customFormat="1" ht="18.75" hidden="1" customHeight="1" x14ac:dyDescent="0.25">
      <c r="A25" s="45"/>
      <c r="B25" s="54"/>
      <c r="C25" s="55"/>
      <c r="D25" s="56"/>
      <c r="E25" s="298"/>
      <c r="F25" s="292"/>
      <c r="G25" s="24"/>
    </row>
    <row r="26" spans="1:7" ht="18.75" hidden="1" customHeight="1" x14ac:dyDescent="0.2">
      <c r="A26" s="565" t="s">
        <v>57</v>
      </c>
      <c r="B26" s="566"/>
      <c r="C26" s="566"/>
      <c r="D26" s="566"/>
      <c r="E26" s="566"/>
      <c r="F26" s="292"/>
    </row>
    <row r="27" spans="1:7" ht="132" hidden="1" customHeight="1" x14ac:dyDescent="0.2">
      <c r="A27" s="546" t="s">
        <v>506</v>
      </c>
      <c r="B27" s="547"/>
      <c r="C27" s="547"/>
      <c r="D27" s="547"/>
      <c r="E27" s="548"/>
      <c r="F27" s="292"/>
    </row>
    <row r="28" spans="1:7" ht="18.75" hidden="1" customHeight="1" x14ac:dyDescent="0.2"/>
    <row r="29" spans="1:7" ht="18.75" hidden="1" customHeight="1" x14ac:dyDescent="0.2"/>
    <row r="30" spans="1:7" ht="18.75" hidden="1" customHeight="1" x14ac:dyDescent="0.2"/>
    <row r="31" spans="1:7" ht="18.75" hidden="1" customHeight="1" x14ac:dyDescent="0.2"/>
    <row r="32" spans="1:7" ht="18.75" hidden="1" customHeight="1" x14ac:dyDescent="0.2"/>
    <row r="33" ht="18.75" hidden="1" customHeight="1" x14ac:dyDescent="0.2"/>
    <row r="34" ht="18.75" hidden="1" customHeight="1" x14ac:dyDescent="0.2"/>
    <row r="35" ht="18.75" hidden="1" customHeight="1" x14ac:dyDescent="0.2"/>
    <row r="36" ht="18.75" hidden="1" customHeight="1" x14ac:dyDescent="0.2"/>
    <row r="37" ht="18.75" hidden="1" customHeight="1" x14ac:dyDescent="0.2"/>
    <row r="38" ht="18.75" hidden="1" customHeight="1" x14ac:dyDescent="0.2"/>
    <row r="39" ht="18.75" hidden="1" customHeight="1" x14ac:dyDescent="0.2"/>
    <row r="40" ht="18.75" hidden="1" customHeight="1" x14ac:dyDescent="0.2"/>
    <row r="41" ht="18.75" hidden="1" customHeight="1" x14ac:dyDescent="0.2"/>
    <row r="42" ht="18.75" hidden="1" customHeight="1" x14ac:dyDescent="0.2"/>
    <row r="43" ht="18.75" hidden="1" customHeight="1" x14ac:dyDescent="0.2"/>
    <row r="44" ht="18.75" hidden="1" customHeight="1" x14ac:dyDescent="0.2"/>
    <row r="45" ht="18.75" hidden="1" customHeight="1" x14ac:dyDescent="0.2"/>
    <row r="46" ht="18.75" hidden="1" customHeight="1" x14ac:dyDescent="0.2"/>
    <row r="47" ht="18.75" hidden="1" customHeight="1" x14ac:dyDescent="0.2"/>
    <row r="48" ht="18.75" hidden="1" customHeight="1" x14ac:dyDescent="0.2"/>
    <row r="49" ht="18.75" hidden="1" customHeight="1" x14ac:dyDescent="0.2"/>
    <row r="50" ht="18.75" hidden="1" customHeight="1" x14ac:dyDescent="0.2"/>
    <row r="51" ht="18.75" hidden="1" customHeight="1" x14ac:dyDescent="0.2"/>
    <row r="52" ht="18.75" hidden="1" customHeight="1" x14ac:dyDescent="0.2"/>
    <row r="53" ht="18.75" hidden="1" customHeight="1" x14ac:dyDescent="0.2"/>
    <row r="54" ht="18.75" hidden="1" customHeight="1" x14ac:dyDescent="0.2"/>
    <row r="55" ht="18.75" hidden="1" customHeight="1" x14ac:dyDescent="0.2"/>
    <row r="56" ht="18.75" hidden="1" customHeight="1" x14ac:dyDescent="0.2"/>
    <row r="57" ht="18.75" hidden="1" customHeight="1" x14ac:dyDescent="0.2"/>
    <row r="58" ht="18.75" hidden="1" customHeight="1" x14ac:dyDescent="0.2"/>
    <row r="59" ht="18.75" hidden="1" customHeight="1" x14ac:dyDescent="0.2"/>
    <row r="60" ht="18.75" hidden="1" customHeight="1" x14ac:dyDescent="0.2"/>
    <row r="61" ht="18.75" hidden="1" customHeight="1" x14ac:dyDescent="0.2"/>
    <row r="62" ht="18.75" hidden="1" customHeight="1" x14ac:dyDescent="0.2"/>
    <row r="63" ht="18.75" hidden="1" customHeight="1" x14ac:dyDescent="0.2"/>
    <row r="64" ht="18.75" hidden="1" customHeight="1" x14ac:dyDescent="0.2"/>
  </sheetData>
  <sheetProtection password="9A3D" sheet="1" objects="1" scenarios="1"/>
  <mergeCells count="14">
    <mergeCell ref="A1:E1"/>
    <mergeCell ref="A27:E27"/>
    <mergeCell ref="A7:E7"/>
    <mergeCell ref="A8:E8"/>
    <mergeCell ref="A9:E9"/>
    <mergeCell ref="A12:E12"/>
    <mergeCell ref="A15:B15"/>
    <mergeCell ref="A22:E22"/>
    <mergeCell ref="A23:C24"/>
    <mergeCell ref="A26:E26"/>
    <mergeCell ref="B4:E4"/>
    <mergeCell ref="B5:E5"/>
    <mergeCell ref="A2:E2"/>
    <mergeCell ref="A3:E3"/>
  </mergeCells>
  <conditionalFormatting sqref="A8:E9">
    <cfRule type="expression" dxfId="63" priority="1">
      <formula>IF($G8="PASSED",TRUE,FALSE)</formula>
    </cfRule>
    <cfRule type="expression" dxfId="62" priority="2">
      <formula>IF($G8="FAILED",TRUE,FALSE)</formula>
    </cfRule>
  </conditionalFormatting>
  <dataValidations count="2">
    <dataValidation type="custom" allowBlank="1" showInputMessage="1" showErrorMessage="1" sqref="C19:D19" xr:uid="{00000000-0002-0000-0000-000000000000}">
      <formula1>SEARCH(".",C19,(SEARCH("@",C19,1))+2)</formula1>
    </dataValidation>
    <dataValidation type="list" allowBlank="1" showInputMessage="1" showErrorMessage="1" sqref="E23:E24" xr:uid="{00000000-0002-0000-0000-000001000000}">
      <formula1>GEN_yes_no</formula1>
    </dataValidation>
  </dataValidation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93"/>
  <sheetViews>
    <sheetView topLeftCell="A13" zoomScaleNormal="100" workbookViewId="0">
      <selection sqref="A1:N1"/>
    </sheetView>
  </sheetViews>
  <sheetFormatPr defaultColWidth="0" defaultRowHeight="12.75" zeroHeight="1" x14ac:dyDescent="0.2"/>
  <cols>
    <col min="1" max="1" width="15.7109375" style="285" customWidth="1"/>
    <col min="2" max="2" width="40.85546875" style="85" customWidth="1"/>
    <col min="3" max="3" width="40.7109375" style="85" customWidth="1"/>
    <col min="4" max="4" width="60.7109375" style="85" customWidth="1"/>
    <col min="5" max="5" width="60.85546875" style="85" customWidth="1"/>
    <col min="6" max="6" width="12.140625" style="85" customWidth="1"/>
    <col min="7" max="12" width="13.140625" style="85" customWidth="1"/>
    <col min="13" max="13" width="13.140625" style="267" customWidth="1"/>
    <col min="14" max="14" width="60.7109375" style="117" customWidth="1"/>
    <col min="15" max="15" width="9.140625" style="117" hidden="1" customWidth="1"/>
    <col min="16" max="16" width="11.7109375" style="85" hidden="1" customWidth="1"/>
    <col min="17" max="19" width="13.28515625" style="85" hidden="1" customWidth="1"/>
    <col min="20" max="24" width="14.28515625" style="85" hidden="1" customWidth="1"/>
    <col min="25" max="25" width="13.28515625" style="85" hidden="1" customWidth="1"/>
    <col min="26" max="26" width="18.85546875" style="85" hidden="1" customWidth="1"/>
    <col min="27" max="27" width="9.140625" style="85" hidden="1" customWidth="1"/>
    <col min="28" max="28" width="3.5703125" style="85" hidden="1" customWidth="1"/>
    <col min="29" max="16384" width="9.140625" style="345" hidden="1"/>
  </cols>
  <sheetData>
    <row r="1" spans="1:28" ht="31.5" customHeight="1" x14ac:dyDescent="0.2">
      <c r="A1" s="593" t="s">
        <v>452</v>
      </c>
      <c r="B1" s="594"/>
      <c r="C1" s="594"/>
      <c r="D1" s="594"/>
      <c r="E1" s="594"/>
      <c r="F1" s="594"/>
      <c r="G1" s="594"/>
      <c r="H1" s="594"/>
      <c r="I1" s="594"/>
      <c r="J1" s="594"/>
      <c r="K1" s="594"/>
      <c r="L1" s="594"/>
      <c r="M1" s="594"/>
      <c r="N1" s="643"/>
      <c r="O1" s="417" t="s">
        <v>123</v>
      </c>
      <c r="P1" s="418"/>
      <c r="AB1" s="212"/>
    </row>
    <row r="2" spans="1:28" ht="18.75" customHeight="1" x14ac:dyDescent="0.2">
      <c r="A2" s="597" t="str">
        <f>Contact!A2</f>
        <v>Institution name: Derby College</v>
      </c>
      <c r="B2" s="598"/>
      <c r="C2" s="598"/>
      <c r="D2" s="598"/>
      <c r="E2" s="598"/>
      <c r="F2" s="598"/>
      <c r="G2" s="598"/>
      <c r="H2" s="598"/>
      <c r="I2" s="598"/>
      <c r="J2" s="598"/>
      <c r="K2" s="598"/>
      <c r="L2" s="598"/>
      <c r="M2" s="598"/>
      <c r="N2" s="670"/>
      <c r="O2" s="87"/>
      <c r="P2" s="88"/>
      <c r="AB2" s="213"/>
    </row>
    <row r="3" spans="1:28" ht="18.75" customHeight="1" x14ac:dyDescent="0.2">
      <c r="A3" s="635" t="str">
        <f>Contact!A3</f>
        <v>Institution UKPRN: 10001919</v>
      </c>
      <c r="B3" s="636"/>
      <c r="C3" s="636"/>
      <c r="D3" s="636"/>
      <c r="E3" s="636"/>
      <c r="F3" s="636"/>
      <c r="G3" s="636"/>
      <c r="H3" s="636"/>
      <c r="I3" s="636"/>
      <c r="J3" s="636"/>
      <c r="K3" s="636"/>
      <c r="L3" s="636"/>
      <c r="M3" s="636"/>
      <c r="N3" s="853"/>
      <c r="O3" s="87"/>
      <c r="P3" s="88"/>
      <c r="AB3" s="213"/>
    </row>
    <row r="4" spans="1:28" ht="18.75" customHeight="1" x14ac:dyDescent="0.2">
      <c r="A4" s="854"/>
      <c r="B4" s="855"/>
      <c r="C4" s="855"/>
      <c r="D4" s="855"/>
      <c r="E4" s="855"/>
      <c r="F4" s="855"/>
      <c r="G4" s="855"/>
      <c r="H4" s="855"/>
      <c r="I4" s="855"/>
      <c r="J4" s="855"/>
      <c r="K4" s="855"/>
      <c r="L4" s="855"/>
      <c r="M4" s="855"/>
      <c r="N4" s="856"/>
      <c r="O4" s="87"/>
      <c r="P4" s="88"/>
      <c r="W4" s="85" t="b">
        <f>IF(COUNTBLANK($B59:$M59)&lt;&gt;12,IF(D16&lt;&gt;D59,TRUE,FALSE),FALSE)</f>
        <v>0</v>
      </c>
      <c r="AB4" s="213"/>
    </row>
    <row r="5" spans="1:28" s="342" customFormat="1" ht="18.75" customHeight="1" x14ac:dyDescent="0.2">
      <c r="A5" s="839" t="s">
        <v>59</v>
      </c>
      <c r="B5" s="840"/>
      <c r="C5" s="840"/>
      <c r="D5" s="840"/>
      <c r="E5" s="840"/>
      <c r="F5" s="840"/>
      <c r="G5" s="840"/>
      <c r="H5" s="840"/>
      <c r="I5" s="840"/>
      <c r="J5" s="840"/>
      <c r="K5" s="840"/>
      <c r="L5" s="840"/>
      <c r="M5" s="840"/>
      <c r="N5" s="841"/>
      <c r="O5" s="413"/>
      <c r="P5" s="414"/>
      <c r="Q5" s="31" t="s">
        <v>35</v>
      </c>
      <c r="R5" s="4"/>
      <c r="S5" s="4"/>
      <c r="T5" s="4"/>
      <c r="U5" s="4"/>
      <c r="V5" s="4"/>
      <c r="W5" s="4"/>
      <c r="X5" s="4"/>
      <c r="Y5" s="4"/>
      <c r="Z5" s="4"/>
      <c r="AA5" s="4"/>
      <c r="AB5" s="214"/>
    </row>
    <row r="6" spans="1:28" s="342" customFormat="1" ht="18" customHeight="1" x14ac:dyDescent="0.2">
      <c r="A6" s="588" t="s">
        <v>576</v>
      </c>
      <c r="B6" s="589"/>
      <c r="C6" s="589"/>
      <c r="D6" s="589"/>
      <c r="E6" s="589"/>
      <c r="F6" s="589"/>
      <c r="G6" s="589"/>
      <c r="H6" s="589"/>
      <c r="I6" s="589"/>
      <c r="J6" s="589"/>
      <c r="K6" s="589"/>
      <c r="L6" s="589"/>
      <c r="M6" s="589"/>
      <c r="N6" s="590"/>
      <c r="O6" s="413"/>
      <c r="P6" s="414"/>
      <c r="Q6" s="34" t="str">
        <f>IF(COUNTIF(T16:T55,"NO")&gt;0,"FAILED","PASSED")</f>
        <v>PASSED</v>
      </c>
      <c r="R6" s="4"/>
      <c r="S6" s="4"/>
      <c r="T6" s="4"/>
      <c r="U6" s="4"/>
      <c r="V6" s="4"/>
      <c r="W6" s="4"/>
      <c r="X6" s="4"/>
      <c r="Y6" s="4"/>
      <c r="Z6" s="4"/>
      <c r="AA6" s="4"/>
      <c r="AB6" s="214"/>
    </row>
    <row r="7" spans="1:28" s="342" customFormat="1" ht="18" customHeight="1" x14ac:dyDescent="0.2">
      <c r="A7" s="588" t="s">
        <v>454</v>
      </c>
      <c r="B7" s="589"/>
      <c r="C7" s="589"/>
      <c r="D7" s="589"/>
      <c r="E7" s="589"/>
      <c r="F7" s="589"/>
      <c r="G7" s="589"/>
      <c r="H7" s="589"/>
      <c r="I7" s="589"/>
      <c r="J7" s="589"/>
      <c r="K7" s="589"/>
      <c r="L7" s="589"/>
      <c r="M7" s="589"/>
      <c r="N7" s="590"/>
      <c r="O7" s="413"/>
      <c r="P7" s="414"/>
      <c r="Q7" s="34" t="str">
        <f>IF(COUNTIF(T106:T145,"NO")&gt;0,"FAILED","PASSED")</f>
        <v>PASSED</v>
      </c>
      <c r="R7" s="4"/>
      <c r="S7" s="4"/>
      <c r="T7" s="4"/>
      <c r="U7" s="4"/>
      <c r="V7" s="4"/>
      <c r="W7" s="4"/>
      <c r="X7" s="4"/>
      <c r="Y7" s="4"/>
      <c r="Z7" s="4"/>
      <c r="AA7" s="4"/>
      <c r="AB7" s="214"/>
    </row>
    <row r="8" spans="1:28" s="342" customFormat="1" ht="18.75" hidden="1" customHeight="1" x14ac:dyDescent="0.2">
      <c r="A8" s="215"/>
      <c r="B8" s="216"/>
      <c r="C8" s="216"/>
      <c r="D8" s="216"/>
      <c r="E8" s="216"/>
      <c r="F8" s="217"/>
      <c r="G8" s="217"/>
      <c r="H8" s="217"/>
      <c r="I8" s="218"/>
      <c r="J8" s="218"/>
      <c r="K8" s="217"/>
      <c r="L8" s="217"/>
      <c r="M8" s="219"/>
      <c r="N8" s="220"/>
      <c r="O8" s="413"/>
      <c r="P8" s="414"/>
      <c r="Q8" s="4"/>
      <c r="R8" s="4"/>
      <c r="S8" s="4"/>
      <c r="T8" s="4"/>
      <c r="U8" s="4"/>
      <c r="V8" s="4"/>
      <c r="W8" s="4"/>
      <c r="X8" s="4"/>
      <c r="Y8" s="4"/>
      <c r="Z8" s="4"/>
      <c r="AA8" s="4"/>
      <c r="AB8" s="214"/>
    </row>
    <row r="9" spans="1:28" ht="18.75" hidden="1" customHeight="1" x14ac:dyDescent="0.2">
      <c r="A9" s="839" t="s">
        <v>60</v>
      </c>
      <c r="B9" s="840"/>
      <c r="C9" s="840"/>
      <c r="D9" s="840"/>
      <c r="E9" s="840"/>
      <c r="F9" s="840"/>
      <c r="G9" s="840"/>
      <c r="H9" s="840"/>
      <c r="I9" s="840"/>
      <c r="J9" s="840"/>
      <c r="K9" s="840"/>
      <c r="L9" s="840"/>
      <c r="M9" s="840"/>
      <c r="N9" s="841"/>
      <c r="O9" s="87"/>
      <c r="P9" s="88"/>
      <c r="AB9" s="213"/>
    </row>
    <row r="10" spans="1:28" ht="14.25" hidden="1" x14ac:dyDescent="0.2">
      <c r="A10" s="857" t="s">
        <v>451</v>
      </c>
      <c r="B10" s="858"/>
      <c r="C10" s="858"/>
      <c r="D10" s="858"/>
      <c r="E10" s="858"/>
      <c r="F10" s="858"/>
      <c r="G10" s="858"/>
      <c r="H10" s="858"/>
      <c r="I10" s="858"/>
      <c r="J10" s="858"/>
      <c r="K10" s="858"/>
      <c r="L10" s="858"/>
      <c r="M10" s="858"/>
      <c r="N10" s="859"/>
      <c r="O10" s="87"/>
      <c r="P10" s="88"/>
      <c r="AB10" s="213"/>
    </row>
    <row r="11" spans="1:28" ht="18.75" customHeight="1" x14ac:dyDescent="0.2">
      <c r="A11" s="221"/>
      <c r="B11" s="98"/>
      <c r="C11" s="98"/>
      <c r="D11" s="98"/>
      <c r="E11" s="98"/>
      <c r="F11" s="98"/>
      <c r="G11" s="98"/>
      <c r="H11" s="98"/>
      <c r="I11" s="222"/>
      <c r="J11" s="98"/>
      <c r="K11" s="98"/>
      <c r="L11" s="222"/>
      <c r="M11" s="223"/>
      <c r="N11" s="224"/>
      <c r="O11" s="87"/>
      <c r="P11" s="88"/>
      <c r="AB11" s="213"/>
    </row>
    <row r="12" spans="1:28" ht="18.75" hidden="1" customHeight="1" x14ac:dyDescent="0.2">
      <c r="A12" s="87" t="s">
        <v>124</v>
      </c>
      <c r="B12" s="225" t="s">
        <v>125</v>
      </c>
      <c r="C12" s="225" t="s">
        <v>126</v>
      </c>
      <c r="D12" s="226" t="s">
        <v>127</v>
      </c>
      <c r="E12" s="226" t="s">
        <v>128</v>
      </c>
      <c r="F12" s="225" t="s">
        <v>129</v>
      </c>
      <c r="G12" s="225" t="s">
        <v>130</v>
      </c>
      <c r="H12" s="225" t="s">
        <v>131</v>
      </c>
      <c r="I12" s="226" t="s">
        <v>4</v>
      </c>
      <c r="J12" s="226" t="s">
        <v>5</v>
      </c>
      <c r="K12" s="226" t="s">
        <v>6</v>
      </c>
      <c r="L12" s="226" t="s">
        <v>7</v>
      </c>
      <c r="M12" s="226" t="s">
        <v>405</v>
      </c>
      <c r="N12" s="227" t="s">
        <v>87</v>
      </c>
      <c r="O12" s="413" t="s">
        <v>11</v>
      </c>
      <c r="P12" s="414" t="s">
        <v>0</v>
      </c>
      <c r="AB12" s="213"/>
    </row>
    <row r="13" spans="1:28" ht="30" customHeight="1" x14ac:dyDescent="0.2">
      <c r="A13" s="842" t="s">
        <v>453</v>
      </c>
      <c r="B13" s="843"/>
      <c r="C13" s="843"/>
      <c r="D13" s="843"/>
      <c r="E13" s="843"/>
      <c r="F13" s="843"/>
      <c r="G13" s="843"/>
      <c r="H13" s="843"/>
      <c r="I13" s="843"/>
      <c r="J13" s="843"/>
      <c r="K13" s="843"/>
      <c r="L13" s="843"/>
      <c r="M13" s="843"/>
      <c r="N13" s="844"/>
      <c r="O13" s="87"/>
      <c r="P13" s="88"/>
      <c r="R13" s="845" t="s">
        <v>132</v>
      </c>
      <c r="S13" s="846"/>
      <c r="T13" s="846"/>
      <c r="U13" s="846"/>
      <c r="V13" s="846"/>
      <c r="W13" s="846"/>
      <c r="X13" s="846"/>
      <c r="Y13" s="847"/>
      <c r="AB13" s="213"/>
    </row>
    <row r="14" spans="1:28" ht="29.25" customHeight="1" x14ac:dyDescent="0.2">
      <c r="A14" s="848" t="s">
        <v>133</v>
      </c>
      <c r="B14" s="848" t="s">
        <v>134</v>
      </c>
      <c r="C14" s="626" t="s">
        <v>135</v>
      </c>
      <c r="D14" s="626" t="s">
        <v>136</v>
      </c>
      <c r="E14" s="626" t="s">
        <v>137</v>
      </c>
      <c r="F14" s="626" t="s">
        <v>138</v>
      </c>
      <c r="G14" s="626" t="s">
        <v>139</v>
      </c>
      <c r="H14" s="626" t="s">
        <v>140</v>
      </c>
      <c r="I14" s="831" t="s">
        <v>141</v>
      </c>
      <c r="J14" s="832"/>
      <c r="K14" s="832"/>
      <c r="L14" s="832"/>
      <c r="M14" s="833"/>
      <c r="N14" s="834" t="s">
        <v>142</v>
      </c>
      <c r="O14" s="87"/>
      <c r="P14" s="88"/>
      <c r="R14" s="836" t="s">
        <v>143</v>
      </c>
      <c r="S14" s="838" t="s">
        <v>144</v>
      </c>
      <c r="T14" s="828" t="s">
        <v>145</v>
      </c>
      <c r="U14" s="828" t="s">
        <v>146</v>
      </c>
      <c r="V14" s="838" t="s">
        <v>553</v>
      </c>
      <c r="W14" s="838" t="s">
        <v>147</v>
      </c>
      <c r="X14" s="838" t="s">
        <v>148</v>
      </c>
      <c r="Y14" s="838" t="s">
        <v>132</v>
      </c>
      <c r="AA14" s="830" t="s">
        <v>149</v>
      </c>
      <c r="AB14" s="213"/>
    </row>
    <row r="15" spans="1:28" s="342" customFormat="1" ht="30" customHeight="1" x14ac:dyDescent="0.2">
      <c r="A15" s="849"/>
      <c r="B15" s="849"/>
      <c r="C15" s="628"/>
      <c r="D15" s="628"/>
      <c r="E15" s="628"/>
      <c r="F15" s="628"/>
      <c r="G15" s="628"/>
      <c r="H15" s="628"/>
      <c r="I15" s="164" t="s">
        <v>25</v>
      </c>
      <c r="J15" s="69" t="s">
        <v>26</v>
      </c>
      <c r="K15" s="69" t="s">
        <v>27</v>
      </c>
      <c r="L15" s="69" t="s">
        <v>28</v>
      </c>
      <c r="M15" s="164" t="s">
        <v>30</v>
      </c>
      <c r="N15" s="835"/>
      <c r="O15" s="413"/>
      <c r="P15" s="414"/>
      <c r="Q15" s="4"/>
      <c r="R15" s="837"/>
      <c r="S15" s="829"/>
      <c r="T15" s="829"/>
      <c r="U15" s="829"/>
      <c r="V15" s="829"/>
      <c r="W15" s="829"/>
      <c r="X15" s="829"/>
      <c r="Y15" s="829"/>
      <c r="Z15" s="4"/>
      <c r="AA15" s="830"/>
      <c r="AB15" s="214"/>
    </row>
    <row r="16" spans="1:28" s="342" customFormat="1" ht="29.25" x14ac:dyDescent="0.2">
      <c r="A16" s="286" t="str">
        <f t="shared" ref="A16:A55" si="0">IF(R16="YES",AA16,"")</f>
        <v>T16a_01</v>
      </c>
      <c r="B16" s="228" t="s">
        <v>580</v>
      </c>
      <c r="C16" s="228" t="s">
        <v>292</v>
      </c>
      <c r="D16" s="228" t="s">
        <v>367</v>
      </c>
      <c r="E16" s="229" t="s">
        <v>581</v>
      </c>
      <c r="F16" s="230" t="s">
        <v>94</v>
      </c>
      <c r="G16" s="231" t="s">
        <v>357</v>
      </c>
      <c r="H16" s="232">
        <v>5</v>
      </c>
      <c r="I16" s="232">
        <v>6</v>
      </c>
      <c r="J16" s="232">
        <v>7</v>
      </c>
      <c r="K16" s="232">
        <v>8</v>
      </c>
      <c r="L16" s="232">
        <v>9</v>
      </c>
      <c r="M16" s="232" t="s">
        <v>582</v>
      </c>
      <c r="N16" s="233" t="s">
        <v>583</v>
      </c>
      <c r="O16" s="413" t="s">
        <v>428</v>
      </c>
      <c r="P16" s="414">
        <v>1</v>
      </c>
      <c r="Q16" s="4"/>
      <c r="R16" s="234" t="str">
        <f>IF(COUNTBLANK(B16:N16)=13,"NO","YES")</f>
        <v>YES</v>
      </c>
      <c r="S16" s="234" t="str">
        <f>IF(COUNTBLANK($D16)=1,"",IF(ISERROR(VLOOKUP($D16,target,1,FALSE)),"NO","YES"))</f>
        <v>YES</v>
      </c>
      <c r="T16" s="234" t="str">
        <f>IF(R16="NO","",IF(AND((COUNTBLANK(A16:D16)+COUNTBLANK(F16:H16))=0,COUNTBLANK(I16:J16)=0),"YES","NO"))</f>
        <v>YES</v>
      </c>
      <c r="U16" s="234" t="str">
        <f t="shared" ref="U16:U55" si="1">IF(CONCATENATE(B16,D16, E16,F16,G16,H16,I16,J16,K16,L16,N16)=CONCATENATE(B59,D59,E59,F59,G59,H59,I59,J59,K59,L59,N59),"NO","YES")</f>
        <v>NO</v>
      </c>
      <c r="V16" s="234" t="str">
        <f>IF(U16="NO","",IF(AND(U16="YES",COUNTBLANK(I16:M16)&lt;&gt;0),"FAIL","PASSED"))</f>
        <v/>
      </c>
      <c r="W16" s="234" t="str">
        <f t="shared" ref="W16:W55" si="2">IF(R16="NO","",IF(COUNTBLANK(A16)=1,"NO","YES"))</f>
        <v>YES</v>
      </c>
      <c r="X16" s="234" t="str">
        <f t="shared" ref="X16:X55" si="3">IF(R16="NO","",IF((COUNTIF($A$16:$A$55,$A16) + COUNTIF($A$106:$A$145,$A16))&gt;=2,"NO","YES"))</f>
        <v>YES</v>
      </c>
      <c r="Y16" s="234" t="str">
        <f t="shared" ref="Y16:Y55" si="4">IF(OR(S16="NO",T16="NO"),"FLAG","")</f>
        <v/>
      </c>
      <c r="Z16" s="4"/>
      <c r="AA16" s="235" t="s">
        <v>151</v>
      </c>
      <c r="AB16" s="214"/>
    </row>
    <row r="17" spans="1:28" ht="29.25" x14ac:dyDescent="0.2">
      <c r="A17" s="287" t="str">
        <f t="shared" si="0"/>
        <v>T16a_02</v>
      </c>
      <c r="B17" s="228" t="s">
        <v>326</v>
      </c>
      <c r="C17" s="228" t="s">
        <v>296</v>
      </c>
      <c r="D17" s="228" t="s">
        <v>394</v>
      </c>
      <c r="E17" s="236" t="s">
        <v>584</v>
      </c>
      <c r="F17" s="237" t="s">
        <v>94</v>
      </c>
      <c r="G17" s="238" t="s">
        <v>357</v>
      </c>
      <c r="H17" s="239">
        <v>30</v>
      </c>
      <c r="I17" s="239">
        <v>60</v>
      </c>
      <c r="J17" s="239">
        <v>70</v>
      </c>
      <c r="K17" s="239">
        <v>80</v>
      </c>
      <c r="L17" s="239">
        <v>90</v>
      </c>
      <c r="M17" s="239" t="s">
        <v>582</v>
      </c>
      <c r="N17" s="240" t="s">
        <v>585</v>
      </c>
      <c r="O17" s="413" t="s">
        <v>428</v>
      </c>
      <c r="P17" s="414">
        <v>2</v>
      </c>
      <c r="R17" s="234" t="str">
        <f t="shared" ref="R17:R55" si="5">IF(COUNTBLANK(B17:N17)=13,"NO","YES")</f>
        <v>YES</v>
      </c>
      <c r="S17" s="234" t="str">
        <f t="shared" ref="S17:S55" si="6">IF(COUNTBLANK($D17)=1,"",IF(ISERROR(VLOOKUP($D17,target,1,FALSE)),"NO","YES"))</f>
        <v>YES</v>
      </c>
      <c r="T17" s="234" t="str">
        <f t="shared" ref="T17:T55" si="7">IF(R17="NO","",IF(AND((COUNTBLANK(A17:D17)+COUNTBLANK(F17:H17))=0,COUNTBLANK(I17:J17)=0),"YES","NO"))</f>
        <v>YES</v>
      </c>
      <c r="U17" s="234" t="str">
        <f t="shared" si="1"/>
        <v>NO</v>
      </c>
      <c r="V17" s="234" t="str">
        <f t="shared" ref="V17:V55" si="8">IF(U17="NO","",IF(AND(U17="YES",COUNTBLANK(I17:M17)&lt;&gt;0),"FAIL","PASSED"))</f>
        <v/>
      </c>
      <c r="W17" s="234" t="str">
        <f t="shared" si="2"/>
        <v>YES</v>
      </c>
      <c r="X17" s="234" t="str">
        <f t="shared" si="3"/>
        <v>YES</v>
      </c>
      <c r="Y17" s="234" t="str">
        <f t="shared" si="4"/>
        <v/>
      </c>
      <c r="AA17" s="235" t="s">
        <v>152</v>
      </c>
      <c r="AB17" s="213"/>
    </row>
    <row r="18" spans="1:28" ht="29.25" x14ac:dyDescent="0.2">
      <c r="A18" s="287" t="str">
        <f t="shared" si="0"/>
        <v>T16a_03</v>
      </c>
      <c r="B18" s="228" t="s">
        <v>326</v>
      </c>
      <c r="C18" s="228" t="s">
        <v>289</v>
      </c>
      <c r="D18" s="228" t="s">
        <v>402</v>
      </c>
      <c r="E18" s="236" t="s">
        <v>586</v>
      </c>
      <c r="F18" s="237" t="s">
        <v>94</v>
      </c>
      <c r="G18" s="238" t="s">
        <v>357</v>
      </c>
      <c r="H18" s="239">
        <v>10</v>
      </c>
      <c r="I18" s="239">
        <v>25</v>
      </c>
      <c r="J18" s="239">
        <v>30</v>
      </c>
      <c r="K18" s="239">
        <v>35</v>
      </c>
      <c r="L18" s="239">
        <v>40</v>
      </c>
      <c r="M18" s="239" t="s">
        <v>582</v>
      </c>
      <c r="N18" s="240" t="s">
        <v>585</v>
      </c>
      <c r="O18" s="413" t="s">
        <v>428</v>
      </c>
      <c r="P18" s="414">
        <v>3</v>
      </c>
      <c r="R18" s="234" t="str">
        <f t="shared" si="5"/>
        <v>YES</v>
      </c>
      <c r="S18" s="234" t="str">
        <f t="shared" si="6"/>
        <v>YES</v>
      </c>
      <c r="T18" s="234" t="str">
        <f t="shared" si="7"/>
        <v>YES</v>
      </c>
      <c r="U18" s="234" t="str">
        <f t="shared" si="1"/>
        <v>NO</v>
      </c>
      <c r="V18" s="234" t="str">
        <f t="shared" si="8"/>
        <v/>
      </c>
      <c r="W18" s="234" t="str">
        <f t="shared" si="2"/>
        <v>YES</v>
      </c>
      <c r="X18" s="234" t="str">
        <f t="shared" si="3"/>
        <v>YES</v>
      </c>
      <c r="Y18" s="234" t="str">
        <f t="shared" si="4"/>
        <v/>
      </c>
      <c r="AA18" s="235" t="s">
        <v>153</v>
      </c>
      <c r="AB18" s="213"/>
    </row>
    <row r="19" spans="1:28" ht="38.25" x14ac:dyDescent="0.2">
      <c r="A19" s="287" t="str">
        <f t="shared" si="0"/>
        <v>T16a_04</v>
      </c>
      <c r="B19" s="228" t="s">
        <v>580</v>
      </c>
      <c r="C19" s="228" t="s">
        <v>296</v>
      </c>
      <c r="D19" s="228" t="s">
        <v>370</v>
      </c>
      <c r="E19" s="236" t="s">
        <v>587</v>
      </c>
      <c r="F19" s="237" t="s">
        <v>94</v>
      </c>
      <c r="G19" s="238" t="s">
        <v>357</v>
      </c>
      <c r="H19" s="239">
        <v>10</v>
      </c>
      <c r="I19" s="239">
        <v>30</v>
      </c>
      <c r="J19" s="239">
        <v>30</v>
      </c>
      <c r="K19" s="239">
        <v>30</v>
      </c>
      <c r="L19" s="239">
        <v>30</v>
      </c>
      <c r="M19" s="239" t="s">
        <v>582</v>
      </c>
      <c r="N19" s="240" t="s">
        <v>588</v>
      </c>
      <c r="O19" s="413" t="s">
        <v>428</v>
      </c>
      <c r="P19" s="414">
        <v>4</v>
      </c>
      <c r="R19" s="234" t="str">
        <f t="shared" si="5"/>
        <v>YES</v>
      </c>
      <c r="S19" s="234" t="str">
        <f t="shared" si="6"/>
        <v>YES</v>
      </c>
      <c r="T19" s="234" t="str">
        <f t="shared" si="7"/>
        <v>YES</v>
      </c>
      <c r="U19" s="234" t="str">
        <f t="shared" si="1"/>
        <v>NO</v>
      </c>
      <c r="V19" s="234" t="str">
        <f t="shared" si="8"/>
        <v/>
      </c>
      <c r="W19" s="234" t="str">
        <f t="shared" si="2"/>
        <v>YES</v>
      </c>
      <c r="X19" s="234" t="str">
        <f t="shared" si="3"/>
        <v>YES</v>
      </c>
      <c r="Y19" s="234" t="str">
        <f t="shared" si="4"/>
        <v/>
      </c>
      <c r="AA19" s="235" t="s">
        <v>154</v>
      </c>
      <c r="AB19" s="213"/>
    </row>
    <row r="20" spans="1:28" ht="29.25" x14ac:dyDescent="0.2">
      <c r="A20" s="287" t="str">
        <f t="shared" si="0"/>
        <v>T16a_05</v>
      </c>
      <c r="B20" s="228" t="s">
        <v>580</v>
      </c>
      <c r="C20" s="228" t="s">
        <v>292</v>
      </c>
      <c r="D20" s="228" t="s">
        <v>393</v>
      </c>
      <c r="E20" s="236" t="s">
        <v>589</v>
      </c>
      <c r="F20" s="237" t="s">
        <v>94</v>
      </c>
      <c r="G20" s="238" t="s">
        <v>356</v>
      </c>
      <c r="H20" s="239">
        <v>88</v>
      </c>
      <c r="I20" s="239">
        <v>94</v>
      </c>
      <c r="J20" s="239">
        <v>95</v>
      </c>
      <c r="K20" s="239">
        <v>95</v>
      </c>
      <c r="L20" s="239">
        <v>95</v>
      </c>
      <c r="M20" s="239" t="s">
        <v>582</v>
      </c>
      <c r="N20" s="240" t="s">
        <v>590</v>
      </c>
      <c r="O20" s="413" t="s">
        <v>428</v>
      </c>
      <c r="P20" s="414">
        <v>5</v>
      </c>
      <c r="R20" s="234" t="str">
        <f t="shared" si="5"/>
        <v>YES</v>
      </c>
      <c r="S20" s="234" t="str">
        <f t="shared" si="6"/>
        <v>YES</v>
      </c>
      <c r="T20" s="234" t="str">
        <f t="shared" si="7"/>
        <v>YES</v>
      </c>
      <c r="U20" s="234" t="str">
        <f t="shared" si="1"/>
        <v>NO</v>
      </c>
      <c r="V20" s="234" t="str">
        <f t="shared" si="8"/>
        <v/>
      </c>
      <c r="W20" s="234" t="str">
        <f t="shared" si="2"/>
        <v>YES</v>
      </c>
      <c r="X20" s="234" t="str">
        <f t="shared" si="3"/>
        <v>YES</v>
      </c>
      <c r="Y20" s="234" t="str">
        <f t="shared" si="4"/>
        <v/>
      </c>
      <c r="AA20" s="235" t="s">
        <v>155</v>
      </c>
      <c r="AB20" s="213"/>
    </row>
    <row r="21" spans="1:28" x14ac:dyDescent="0.2">
      <c r="A21" s="287" t="str">
        <f t="shared" si="0"/>
        <v/>
      </c>
      <c r="B21" s="228"/>
      <c r="C21" s="228"/>
      <c r="D21" s="228"/>
      <c r="E21" s="236"/>
      <c r="F21" s="237"/>
      <c r="G21" s="238"/>
      <c r="H21" s="239"/>
      <c r="I21" s="239"/>
      <c r="J21" s="239"/>
      <c r="K21" s="239"/>
      <c r="L21" s="239"/>
      <c r="M21" s="239"/>
      <c r="N21" s="240"/>
      <c r="O21" s="413" t="s">
        <v>428</v>
      </c>
      <c r="P21" s="414">
        <v>6</v>
      </c>
      <c r="R21" s="234" t="str">
        <f t="shared" si="5"/>
        <v>NO</v>
      </c>
      <c r="S21" s="234" t="str">
        <f t="shared" si="6"/>
        <v/>
      </c>
      <c r="T21" s="234" t="str">
        <f t="shared" si="7"/>
        <v/>
      </c>
      <c r="U21" s="234" t="str">
        <f t="shared" si="1"/>
        <v>NO</v>
      </c>
      <c r="V21" s="234" t="str">
        <f t="shared" si="8"/>
        <v/>
      </c>
      <c r="W21" s="234" t="str">
        <f t="shared" si="2"/>
        <v/>
      </c>
      <c r="X21" s="234" t="str">
        <f t="shared" si="3"/>
        <v/>
      </c>
      <c r="Y21" s="234" t="str">
        <f t="shared" si="4"/>
        <v/>
      </c>
      <c r="AA21" s="235" t="s">
        <v>156</v>
      </c>
      <c r="AB21" s="213"/>
    </row>
    <row r="22" spans="1:28" x14ac:dyDescent="0.2">
      <c r="A22" s="287" t="str">
        <f t="shared" si="0"/>
        <v/>
      </c>
      <c r="B22" s="228"/>
      <c r="C22" s="228"/>
      <c r="D22" s="228"/>
      <c r="E22" s="236"/>
      <c r="F22" s="237"/>
      <c r="G22" s="238"/>
      <c r="H22" s="239"/>
      <c r="I22" s="239"/>
      <c r="J22" s="239"/>
      <c r="K22" s="239"/>
      <c r="L22" s="239"/>
      <c r="M22" s="239"/>
      <c r="N22" s="241"/>
      <c r="O22" s="413" t="s">
        <v>428</v>
      </c>
      <c r="P22" s="414">
        <v>7</v>
      </c>
      <c r="R22" s="234" t="str">
        <f t="shared" si="5"/>
        <v>NO</v>
      </c>
      <c r="S22" s="234" t="str">
        <f t="shared" si="6"/>
        <v/>
      </c>
      <c r="T22" s="234" t="str">
        <f t="shared" si="7"/>
        <v/>
      </c>
      <c r="U22" s="234" t="str">
        <f t="shared" si="1"/>
        <v>NO</v>
      </c>
      <c r="V22" s="234" t="str">
        <f t="shared" si="8"/>
        <v/>
      </c>
      <c r="W22" s="234" t="str">
        <f t="shared" si="2"/>
        <v/>
      </c>
      <c r="X22" s="234" t="str">
        <f t="shared" si="3"/>
        <v/>
      </c>
      <c r="Y22" s="234" t="str">
        <f t="shared" si="4"/>
        <v/>
      </c>
      <c r="AA22" s="235" t="s">
        <v>157</v>
      </c>
      <c r="AB22" s="213"/>
    </row>
    <row r="23" spans="1:28" x14ac:dyDescent="0.2">
      <c r="A23" s="287" t="str">
        <f t="shared" si="0"/>
        <v/>
      </c>
      <c r="B23" s="228"/>
      <c r="C23" s="228"/>
      <c r="D23" s="228"/>
      <c r="E23" s="236"/>
      <c r="F23" s="237"/>
      <c r="G23" s="238"/>
      <c r="H23" s="239"/>
      <c r="I23" s="239"/>
      <c r="J23" s="239"/>
      <c r="K23" s="239"/>
      <c r="L23" s="239"/>
      <c r="M23" s="239"/>
      <c r="N23" s="241"/>
      <c r="O23" s="413" t="s">
        <v>428</v>
      </c>
      <c r="P23" s="414">
        <v>8</v>
      </c>
      <c r="R23" s="234" t="str">
        <f t="shared" si="5"/>
        <v>NO</v>
      </c>
      <c r="S23" s="234" t="str">
        <f t="shared" si="6"/>
        <v/>
      </c>
      <c r="T23" s="234" t="str">
        <f t="shared" si="7"/>
        <v/>
      </c>
      <c r="U23" s="234" t="str">
        <f t="shared" si="1"/>
        <v>NO</v>
      </c>
      <c r="V23" s="234" t="str">
        <f t="shared" si="8"/>
        <v/>
      </c>
      <c r="W23" s="234" t="str">
        <f t="shared" si="2"/>
        <v/>
      </c>
      <c r="X23" s="234" t="str">
        <f t="shared" si="3"/>
        <v/>
      </c>
      <c r="Y23" s="234" t="str">
        <f t="shared" si="4"/>
        <v/>
      </c>
      <c r="AA23" s="235" t="s">
        <v>158</v>
      </c>
      <c r="AB23" s="213"/>
    </row>
    <row r="24" spans="1:28" x14ac:dyDescent="0.2">
      <c r="A24" s="287" t="str">
        <f t="shared" si="0"/>
        <v/>
      </c>
      <c r="B24" s="228"/>
      <c r="C24" s="228"/>
      <c r="D24" s="228"/>
      <c r="E24" s="236"/>
      <c r="F24" s="237"/>
      <c r="G24" s="238"/>
      <c r="H24" s="239"/>
      <c r="I24" s="239"/>
      <c r="J24" s="239"/>
      <c r="K24" s="239"/>
      <c r="L24" s="239"/>
      <c r="M24" s="239"/>
      <c r="N24" s="241"/>
      <c r="O24" s="413" t="s">
        <v>428</v>
      </c>
      <c r="P24" s="414">
        <v>9</v>
      </c>
      <c r="R24" s="234" t="str">
        <f t="shared" si="5"/>
        <v>NO</v>
      </c>
      <c r="S24" s="234" t="str">
        <f t="shared" si="6"/>
        <v/>
      </c>
      <c r="T24" s="234" t="str">
        <f t="shared" si="7"/>
        <v/>
      </c>
      <c r="U24" s="234" t="str">
        <f t="shared" si="1"/>
        <v>NO</v>
      </c>
      <c r="V24" s="234" t="str">
        <f t="shared" si="8"/>
        <v/>
      </c>
      <c r="W24" s="234" t="str">
        <f t="shared" si="2"/>
        <v/>
      </c>
      <c r="X24" s="234" t="str">
        <f t="shared" si="3"/>
        <v/>
      </c>
      <c r="Y24" s="234" t="str">
        <f t="shared" si="4"/>
        <v/>
      </c>
      <c r="AA24" s="235" t="s">
        <v>159</v>
      </c>
      <c r="AB24" s="213"/>
    </row>
    <row r="25" spans="1:28" x14ac:dyDescent="0.2">
      <c r="A25" s="287" t="str">
        <f t="shared" si="0"/>
        <v/>
      </c>
      <c r="B25" s="228"/>
      <c r="C25" s="228"/>
      <c r="D25" s="228"/>
      <c r="E25" s="236"/>
      <c r="F25" s="237"/>
      <c r="G25" s="238"/>
      <c r="H25" s="239"/>
      <c r="I25" s="239"/>
      <c r="J25" s="239"/>
      <c r="K25" s="239"/>
      <c r="L25" s="239"/>
      <c r="M25" s="239"/>
      <c r="N25" s="241"/>
      <c r="O25" s="413" t="s">
        <v>428</v>
      </c>
      <c r="P25" s="414">
        <v>10</v>
      </c>
      <c r="R25" s="234" t="str">
        <f t="shared" si="5"/>
        <v>NO</v>
      </c>
      <c r="S25" s="234" t="str">
        <f t="shared" si="6"/>
        <v/>
      </c>
      <c r="T25" s="234" t="str">
        <f t="shared" si="7"/>
        <v/>
      </c>
      <c r="U25" s="234" t="str">
        <f t="shared" si="1"/>
        <v>NO</v>
      </c>
      <c r="V25" s="234" t="str">
        <f t="shared" si="8"/>
        <v/>
      </c>
      <c r="W25" s="234" t="str">
        <f t="shared" si="2"/>
        <v/>
      </c>
      <c r="X25" s="234" t="str">
        <f t="shared" si="3"/>
        <v/>
      </c>
      <c r="Y25" s="234" t="str">
        <f t="shared" si="4"/>
        <v/>
      </c>
      <c r="AA25" s="235" t="s">
        <v>160</v>
      </c>
      <c r="AB25" s="213"/>
    </row>
    <row r="26" spans="1:28" x14ac:dyDescent="0.2">
      <c r="A26" s="287" t="str">
        <f t="shared" si="0"/>
        <v/>
      </c>
      <c r="B26" s="228"/>
      <c r="C26" s="228"/>
      <c r="D26" s="228"/>
      <c r="E26" s="236"/>
      <c r="F26" s="237"/>
      <c r="G26" s="238"/>
      <c r="H26" s="239"/>
      <c r="I26" s="239"/>
      <c r="J26" s="239"/>
      <c r="K26" s="239"/>
      <c r="L26" s="239"/>
      <c r="M26" s="239"/>
      <c r="N26" s="241"/>
      <c r="O26" s="413" t="s">
        <v>428</v>
      </c>
      <c r="P26" s="414">
        <v>11</v>
      </c>
      <c r="R26" s="234" t="str">
        <f t="shared" si="5"/>
        <v>NO</v>
      </c>
      <c r="S26" s="234" t="str">
        <f t="shared" si="6"/>
        <v/>
      </c>
      <c r="T26" s="234" t="str">
        <f t="shared" si="7"/>
        <v/>
      </c>
      <c r="U26" s="234" t="str">
        <f t="shared" si="1"/>
        <v>NO</v>
      </c>
      <c r="V26" s="234" t="str">
        <f t="shared" si="8"/>
        <v/>
      </c>
      <c r="W26" s="234" t="str">
        <f t="shared" si="2"/>
        <v/>
      </c>
      <c r="X26" s="234" t="str">
        <f t="shared" si="3"/>
        <v/>
      </c>
      <c r="Y26" s="234" t="str">
        <f t="shared" si="4"/>
        <v/>
      </c>
      <c r="AA26" s="235" t="s">
        <v>161</v>
      </c>
      <c r="AB26" s="213"/>
    </row>
    <row r="27" spans="1:28" x14ac:dyDescent="0.2">
      <c r="A27" s="287" t="str">
        <f t="shared" si="0"/>
        <v/>
      </c>
      <c r="B27" s="228"/>
      <c r="C27" s="228"/>
      <c r="D27" s="228"/>
      <c r="E27" s="236"/>
      <c r="F27" s="237"/>
      <c r="G27" s="238"/>
      <c r="H27" s="239"/>
      <c r="I27" s="239"/>
      <c r="J27" s="239"/>
      <c r="K27" s="239"/>
      <c r="L27" s="239"/>
      <c r="M27" s="239"/>
      <c r="N27" s="241"/>
      <c r="O27" s="413" t="s">
        <v>428</v>
      </c>
      <c r="P27" s="414">
        <v>12</v>
      </c>
      <c r="R27" s="234" t="str">
        <f t="shared" si="5"/>
        <v>NO</v>
      </c>
      <c r="S27" s="234" t="str">
        <f t="shared" si="6"/>
        <v/>
      </c>
      <c r="T27" s="234" t="str">
        <f t="shared" si="7"/>
        <v/>
      </c>
      <c r="U27" s="234" t="str">
        <f t="shared" si="1"/>
        <v>NO</v>
      </c>
      <c r="V27" s="234" t="str">
        <f t="shared" si="8"/>
        <v/>
      </c>
      <c r="W27" s="234" t="str">
        <f t="shared" si="2"/>
        <v/>
      </c>
      <c r="X27" s="234" t="str">
        <f t="shared" si="3"/>
        <v/>
      </c>
      <c r="Y27" s="234" t="str">
        <f t="shared" si="4"/>
        <v/>
      </c>
      <c r="AA27" s="235" t="s">
        <v>162</v>
      </c>
      <c r="AB27" s="213"/>
    </row>
    <row r="28" spans="1:28" x14ac:dyDescent="0.2">
      <c r="A28" s="287" t="str">
        <f t="shared" si="0"/>
        <v/>
      </c>
      <c r="B28" s="228"/>
      <c r="C28" s="228"/>
      <c r="D28" s="228"/>
      <c r="E28" s="236"/>
      <c r="F28" s="237"/>
      <c r="G28" s="238"/>
      <c r="H28" s="239"/>
      <c r="I28" s="239"/>
      <c r="J28" s="239"/>
      <c r="K28" s="239"/>
      <c r="L28" s="239"/>
      <c r="M28" s="239"/>
      <c r="N28" s="241"/>
      <c r="O28" s="413" t="s">
        <v>428</v>
      </c>
      <c r="P28" s="414">
        <v>13</v>
      </c>
      <c r="R28" s="234" t="str">
        <f t="shared" si="5"/>
        <v>NO</v>
      </c>
      <c r="S28" s="234" t="str">
        <f t="shared" si="6"/>
        <v/>
      </c>
      <c r="T28" s="234" t="str">
        <f t="shared" si="7"/>
        <v/>
      </c>
      <c r="U28" s="234" t="str">
        <f t="shared" si="1"/>
        <v>NO</v>
      </c>
      <c r="V28" s="234" t="str">
        <f t="shared" si="8"/>
        <v/>
      </c>
      <c r="W28" s="234" t="str">
        <f t="shared" si="2"/>
        <v/>
      </c>
      <c r="X28" s="234" t="str">
        <f t="shared" si="3"/>
        <v/>
      </c>
      <c r="Y28" s="234" t="str">
        <f t="shared" si="4"/>
        <v/>
      </c>
      <c r="AA28" s="235" t="s">
        <v>163</v>
      </c>
      <c r="AB28" s="213"/>
    </row>
    <row r="29" spans="1:28" x14ac:dyDescent="0.2">
      <c r="A29" s="287" t="str">
        <f t="shared" si="0"/>
        <v/>
      </c>
      <c r="B29" s="228"/>
      <c r="C29" s="228"/>
      <c r="D29" s="228"/>
      <c r="E29" s="236"/>
      <c r="F29" s="237"/>
      <c r="G29" s="238"/>
      <c r="H29" s="239"/>
      <c r="I29" s="239"/>
      <c r="J29" s="239"/>
      <c r="K29" s="239"/>
      <c r="L29" s="239"/>
      <c r="M29" s="239"/>
      <c r="N29" s="241"/>
      <c r="O29" s="413" t="s">
        <v>428</v>
      </c>
      <c r="P29" s="414">
        <v>14</v>
      </c>
      <c r="R29" s="234" t="str">
        <f t="shared" si="5"/>
        <v>NO</v>
      </c>
      <c r="S29" s="234" t="str">
        <f t="shared" si="6"/>
        <v/>
      </c>
      <c r="T29" s="234" t="str">
        <f t="shared" si="7"/>
        <v/>
      </c>
      <c r="U29" s="234" t="str">
        <f t="shared" si="1"/>
        <v>NO</v>
      </c>
      <c r="V29" s="234" t="str">
        <f t="shared" si="8"/>
        <v/>
      </c>
      <c r="W29" s="234" t="str">
        <f t="shared" si="2"/>
        <v/>
      </c>
      <c r="X29" s="234" t="str">
        <f t="shared" si="3"/>
        <v/>
      </c>
      <c r="Y29" s="234" t="str">
        <f t="shared" si="4"/>
        <v/>
      </c>
      <c r="AA29" s="235" t="s">
        <v>164</v>
      </c>
      <c r="AB29" s="213"/>
    </row>
    <row r="30" spans="1:28" x14ac:dyDescent="0.2">
      <c r="A30" s="287" t="str">
        <f t="shared" si="0"/>
        <v/>
      </c>
      <c r="B30" s="228"/>
      <c r="C30" s="228"/>
      <c r="D30" s="228"/>
      <c r="E30" s="236"/>
      <c r="F30" s="237"/>
      <c r="G30" s="238"/>
      <c r="H30" s="239"/>
      <c r="I30" s="239"/>
      <c r="J30" s="239"/>
      <c r="K30" s="239"/>
      <c r="L30" s="239"/>
      <c r="M30" s="239"/>
      <c r="N30" s="241"/>
      <c r="O30" s="413" t="s">
        <v>428</v>
      </c>
      <c r="P30" s="414">
        <v>15</v>
      </c>
      <c r="R30" s="234" t="str">
        <f t="shared" si="5"/>
        <v>NO</v>
      </c>
      <c r="S30" s="234" t="str">
        <f t="shared" si="6"/>
        <v/>
      </c>
      <c r="T30" s="234" t="str">
        <f t="shared" si="7"/>
        <v/>
      </c>
      <c r="U30" s="234" t="str">
        <f t="shared" si="1"/>
        <v>NO</v>
      </c>
      <c r="V30" s="234" t="str">
        <f t="shared" si="8"/>
        <v/>
      </c>
      <c r="W30" s="234" t="str">
        <f t="shared" si="2"/>
        <v/>
      </c>
      <c r="X30" s="234" t="str">
        <f t="shared" si="3"/>
        <v/>
      </c>
      <c r="Y30" s="234" t="str">
        <f t="shared" si="4"/>
        <v/>
      </c>
      <c r="AA30" s="235" t="s">
        <v>165</v>
      </c>
      <c r="AB30" s="213"/>
    </row>
    <row r="31" spans="1:28" x14ac:dyDescent="0.2">
      <c r="A31" s="287" t="str">
        <f t="shared" si="0"/>
        <v/>
      </c>
      <c r="B31" s="228"/>
      <c r="C31" s="228"/>
      <c r="D31" s="228"/>
      <c r="E31" s="236"/>
      <c r="F31" s="237"/>
      <c r="G31" s="238"/>
      <c r="H31" s="239"/>
      <c r="I31" s="239"/>
      <c r="J31" s="239"/>
      <c r="K31" s="239"/>
      <c r="L31" s="239"/>
      <c r="M31" s="239"/>
      <c r="N31" s="241"/>
      <c r="O31" s="413" t="s">
        <v>428</v>
      </c>
      <c r="P31" s="414">
        <v>16</v>
      </c>
      <c r="R31" s="234" t="str">
        <f t="shared" si="5"/>
        <v>NO</v>
      </c>
      <c r="S31" s="234" t="str">
        <f t="shared" si="6"/>
        <v/>
      </c>
      <c r="T31" s="234" t="str">
        <f t="shared" si="7"/>
        <v/>
      </c>
      <c r="U31" s="234" t="str">
        <f t="shared" si="1"/>
        <v>NO</v>
      </c>
      <c r="V31" s="234" t="str">
        <f t="shared" si="8"/>
        <v/>
      </c>
      <c r="W31" s="234" t="str">
        <f t="shared" si="2"/>
        <v/>
      </c>
      <c r="X31" s="234" t="str">
        <f t="shared" si="3"/>
        <v/>
      </c>
      <c r="Y31" s="234" t="str">
        <f t="shared" si="4"/>
        <v/>
      </c>
      <c r="AA31" s="235" t="s">
        <v>166</v>
      </c>
      <c r="AB31" s="213"/>
    </row>
    <row r="32" spans="1:28" x14ac:dyDescent="0.2">
      <c r="A32" s="287" t="str">
        <f t="shared" si="0"/>
        <v/>
      </c>
      <c r="B32" s="228"/>
      <c r="C32" s="228"/>
      <c r="D32" s="228"/>
      <c r="E32" s="236"/>
      <c r="F32" s="237"/>
      <c r="G32" s="238"/>
      <c r="H32" s="239"/>
      <c r="I32" s="239"/>
      <c r="J32" s="239"/>
      <c r="K32" s="239"/>
      <c r="L32" s="239"/>
      <c r="M32" s="239"/>
      <c r="N32" s="241"/>
      <c r="O32" s="413" t="s">
        <v>428</v>
      </c>
      <c r="P32" s="414">
        <v>17</v>
      </c>
      <c r="R32" s="234" t="str">
        <f t="shared" si="5"/>
        <v>NO</v>
      </c>
      <c r="S32" s="234" t="str">
        <f t="shared" si="6"/>
        <v/>
      </c>
      <c r="T32" s="234" t="str">
        <f t="shared" si="7"/>
        <v/>
      </c>
      <c r="U32" s="234" t="str">
        <f t="shared" si="1"/>
        <v>NO</v>
      </c>
      <c r="V32" s="234" t="str">
        <f t="shared" si="8"/>
        <v/>
      </c>
      <c r="W32" s="234" t="str">
        <f t="shared" si="2"/>
        <v/>
      </c>
      <c r="X32" s="234" t="str">
        <f t="shared" si="3"/>
        <v/>
      </c>
      <c r="Y32" s="234" t="str">
        <f t="shared" si="4"/>
        <v/>
      </c>
      <c r="AA32" s="235" t="s">
        <v>167</v>
      </c>
      <c r="AB32" s="213"/>
    </row>
    <row r="33" spans="1:28" x14ac:dyDescent="0.2">
      <c r="A33" s="287" t="str">
        <f t="shared" si="0"/>
        <v/>
      </c>
      <c r="B33" s="228"/>
      <c r="C33" s="228"/>
      <c r="D33" s="228"/>
      <c r="E33" s="236"/>
      <c r="F33" s="237"/>
      <c r="G33" s="238"/>
      <c r="H33" s="239"/>
      <c r="I33" s="239"/>
      <c r="J33" s="239"/>
      <c r="K33" s="239"/>
      <c r="L33" s="239"/>
      <c r="M33" s="239"/>
      <c r="N33" s="241"/>
      <c r="O33" s="413" t="s">
        <v>428</v>
      </c>
      <c r="P33" s="414">
        <v>18</v>
      </c>
      <c r="R33" s="234" t="str">
        <f t="shared" si="5"/>
        <v>NO</v>
      </c>
      <c r="S33" s="234" t="str">
        <f t="shared" si="6"/>
        <v/>
      </c>
      <c r="T33" s="234" t="str">
        <f t="shared" si="7"/>
        <v/>
      </c>
      <c r="U33" s="234" t="str">
        <f t="shared" si="1"/>
        <v>NO</v>
      </c>
      <c r="V33" s="234" t="str">
        <f t="shared" si="8"/>
        <v/>
      </c>
      <c r="W33" s="234" t="str">
        <f t="shared" si="2"/>
        <v/>
      </c>
      <c r="X33" s="234" t="str">
        <f t="shared" si="3"/>
        <v/>
      </c>
      <c r="Y33" s="234" t="str">
        <f t="shared" si="4"/>
        <v/>
      </c>
      <c r="AA33" s="235" t="s">
        <v>168</v>
      </c>
      <c r="AB33" s="213"/>
    </row>
    <row r="34" spans="1:28" x14ac:dyDescent="0.2">
      <c r="A34" s="287" t="str">
        <f t="shared" si="0"/>
        <v/>
      </c>
      <c r="B34" s="228"/>
      <c r="C34" s="228"/>
      <c r="D34" s="228"/>
      <c r="E34" s="236"/>
      <c r="F34" s="237"/>
      <c r="G34" s="238"/>
      <c r="H34" s="239"/>
      <c r="I34" s="239"/>
      <c r="J34" s="239"/>
      <c r="K34" s="239"/>
      <c r="L34" s="239"/>
      <c r="M34" s="239"/>
      <c r="N34" s="241"/>
      <c r="O34" s="413" t="s">
        <v>428</v>
      </c>
      <c r="P34" s="414">
        <v>19</v>
      </c>
      <c r="R34" s="234" t="str">
        <f t="shared" si="5"/>
        <v>NO</v>
      </c>
      <c r="S34" s="234" t="str">
        <f t="shared" si="6"/>
        <v/>
      </c>
      <c r="T34" s="234" t="str">
        <f t="shared" si="7"/>
        <v/>
      </c>
      <c r="U34" s="234" t="str">
        <f t="shared" si="1"/>
        <v>NO</v>
      </c>
      <c r="V34" s="234" t="str">
        <f t="shared" si="8"/>
        <v/>
      </c>
      <c r="W34" s="234" t="str">
        <f t="shared" si="2"/>
        <v/>
      </c>
      <c r="X34" s="234" t="str">
        <f t="shared" si="3"/>
        <v/>
      </c>
      <c r="Y34" s="234" t="str">
        <f t="shared" si="4"/>
        <v/>
      </c>
      <c r="AA34" s="235" t="s">
        <v>169</v>
      </c>
      <c r="AB34" s="213"/>
    </row>
    <row r="35" spans="1:28" x14ac:dyDescent="0.2">
      <c r="A35" s="287" t="str">
        <f t="shared" si="0"/>
        <v/>
      </c>
      <c r="B35" s="228"/>
      <c r="C35" s="228"/>
      <c r="D35" s="228"/>
      <c r="E35" s="236"/>
      <c r="F35" s="237"/>
      <c r="G35" s="238"/>
      <c r="H35" s="239"/>
      <c r="I35" s="239"/>
      <c r="J35" s="239"/>
      <c r="K35" s="239"/>
      <c r="L35" s="239"/>
      <c r="M35" s="239"/>
      <c r="N35" s="241"/>
      <c r="O35" s="413" t="s">
        <v>428</v>
      </c>
      <c r="P35" s="414">
        <v>20</v>
      </c>
      <c r="R35" s="234" t="str">
        <f t="shared" si="5"/>
        <v>NO</v>
      </c>
      <c r="S35" s="234" t="str">
        <f t="shared" si="6"/>
        <v/>
      </c>
      <c r="T35" s="234" t="str">
        <f t="shared" si="7"/>
        <v/>
      </c>
      <c r="U35" s="234" t="str">
        <f t="shared" si="1"/>
        <v>NO</v>
      </c>
      <c r="V35" s="234" t="str">
        <f t="shared" si="8"/>
        <v/>
      </c>
      <c r="W35" s="234" t="str">
        <f t="shared" si="2"/>
        <v/>
      </c>
      <c r="X35" s="234" t="str">
        <f t="shared" si="3"/>
        <v/>
      </c>
      <c r="Y35" s="234" t="str">
        <f t="shared" si="4"/>
        <v/>
      </c>
      <c r="AA35" s="235" t="s">
        <v>170</v>
      </c>
      <c r="AB35" s="213"/>
    </row>
    <row r="36" spans="1:28" x14ac:dyDescent="0.2">
      <c r="A36" s="287" t="str">
        <f t="shared" si="0"/>
        <v/>
      </c>
      <c r="B36" s="228"/>
      <c r="C36" s="228"/>
      <c r="D36" s="228"/>
      <c r="E36" s="236"/>
      <c r="F36" s="237"/>
      <c r="G36" s="238"/>
      <c r="H36" s="239"/>
      <c r="I36" s="239"/>
      <c r="J36" s="239"/>
      <c r="K36" s="239"/>
      <c r="L36" s="239"/>
      <c r="M36" s="239"/>
      <c r="N36" s="241"/>
      <c r="O36" s="413" t="s">
        <v>428</v>
      </c>
      <c r="P36" s="414">
        <v>21</v>
      </c>
      <c r="R36" s="234" t="str">
        <f t="shared" si="5"/>
        <v>NO</v>
      </c>
      <c r="S36" s="234" t="str">
        <f t="shared" si="6"/>
        <v/>
      </c>
      <c r="T36" s="234" t="str">
        <f t="shared" si="7"/>
        <v/>
      </c>
      <c r="U36" s="234" t="str">
        <f t="shared" si="1"/>
        <v>NO</v>
      </c>
      <c r="V36" s="234" t="str">
        <f t="shared" si="8"/>
        <v/>
      </c>
      <c r="W36" s="234" t="str">
        <f t="shared" si="2"/>
        <v/>
      </c>
      <c r="X36" s="234" t="str">
        <f t="shared" si="3"/>
        <v/>
      </c>
      <c r="Y36" s="234" t="str">
        <f t="shared" si="4"/>
        <v/>
      </c>
      <c r="AA36" s="235" t="s">
        <v>171</v>
      </c>
      <c r="AB36" s="213"/>
    </row>
    <row r="37" spans="1:28" x14ac:dyDescent="0.2">
      <c r="A37" s="287" t="str">
        <f t="shared" si="0"/>
        <v/>
      </c>
      <c r="B37" s="228"/>
      <c r="C37" s="228"/>
      <c r="D37" s="228"/>
      <c r="E37" s="236"/>
      <c r="F37" s="237"/>
      <c r="G37" s="238"/>
      <c r="H37" s="239"/>
      <c r="I37" s="239"/>
      <c r="J37" s="239"/>
      <c r="K37" s="239"/>
      <c r="L37" s="239"/>
      <c r="M37" s="239"/>
      <c r="N37" s="241"/>
      <c r="O37" s="413" t="s">
        <v>428</v>
      </c>
      <c r="P37" s="414">
        <v>22</v>
      </c>
      <c r="R37" s="234" t="str">
        <f t="shared" si="5"/>
        <v>NO</v>
      </c>
      <c r="S37" s="234" t="str">
        <f t="shared" si="6"/>
        <v/>
      </c>
      <c r="T37" s="234" t="str">
        <f t="shared" si="7"/>
        <v/>
      </c>
      <c r="U37" s="234" t="str">
        <f t="shared" si="1"/>
        <v>NO</v>
      </c>
      <c r="V37" s="234" t="str">
        <f t="shared" si="8"/>
        <v/>
      </c>
      <c r="W37" s="234" t="str">
        <f t="shared" si="2"/>
        <v/>
      </c>
      <c r="X37" s="234" t="str">
        <f t="shared" si="3"/>
        <v/>
      </c>
      <c r="Y37" s="234" t="str">
        <f t="shared" si="4"/>
        <v/>
      </c>
      <c r="AA37" s="235" t="s">
        <v>172</v>
      </c>
      <c r="AB37" s="213"/>
    </row>
    <row r="38" spans="1:28" x14ac:dyDescent="0.2">
      <c r="A38" s="287" t="str">
        <f t="shared" si="0"/>
        <v/>
      </c>
      <c r="B38" s="228"/>
      <c r="C38" s="228"/>
      <c r="D38" s="228"/>
      <c r="E38" s="236"/>
      <c r="F38" s="237"/>
      <c r="G38" s="238"/>
      <c r="H38" s="239"/>
      <c r="I38" s="239"/>
      <c r="J38" s="239"/>
      <c r="K38" s="239"/>
      <c r="L38" s="239"/>
      <c r="M38" s="239"/>
      <c r="N38" s="241"/>
      <c r="O38" s="413" t="s">
        <v>428</v>
      </c>
      <c r="P38" s="414">
        <v>23</v>
      </c>
      <c r="R38" s="234" t="str">
        <f t="shared" si="5"/>
        <v>NO</v>
      </c>
      <c r="S38" s="234" t="str">
        <f t="shared" si="6"/>
        <v/>
      </c>
      <c r="T38" s="234" t="str">
        <f t="shared" si="7"/>
        <v/>
      </c>
      <c r="U38" s="234" t="str">
        <f t="shared" si="1"/>
        <v>NO</v>
      </c>
      <c r="V38" s="234" t="str">
        <f t="shared" si="8"/>
        <v/>
      </c>
      <c r="W38" s="234" t="str">
        <f t="shared" si="2"/>
        <v/>
      </c>
      <c r="X38" s="234" t="str">
        <f t="shared" si="3"/>
        <v/>
      </c>
      <c r="Y38" s="234" t="str">
        <f t="shared" si="4"/>
        <v/>
      </c>
      <c r="AA38" s="235" t="s">
        <v>173</v>
      </c>
      <c r="AB38" s="213"/>
    </row>
    <row r="39" spans="1:28" x14ac:dyDescent="0.2">
      <c r="A39" s="287" t="str">
        <f t="shared" si="0"/>
        <v/>
      </c>
      <c r="B39" s="228"/>
      <c r="C39" s="228"/>
      <c r="D39" s="228"/>
      <c r="E39" s="236"/>
      <c r="F39" s="237"/>
      <c r="G39" s="238"/>
      <c r="H39" s="239"/>
      <c r="I39" s="239"/>
      <c r="J39" s="239"/>
      <c r="K39" s="239"/>
      <c r="L39" s="239"/>
      <c r="M39" s="239"/>
      <c r="N39" s="241"/>
      <c r="O39" s="413" t="s">
        <v>428</v>
      </c>
      <c r="P39" s="414">
        <v>24</v>
      </c>
      <c r="R39" s="234" t="str">
        <f t="shared" si="5"/>
        <v>NO</v>
      </c>
      <c r="S39" s="234" t="str">
        <f t="shared" si="6"/>
        <v/>
      </c>
      <c r="T39" s="234" t="str">
        <f t="shared" si="7"/>
        <v/>
      </c>
      <c r="U39" s="234" t="str">
        <f t="shared" si="1"/>
        <v>NO</v>
      </c>
      <c r="V39" s="234" t="str">
        <f t="shared" si="8"/>
        <v/>
      </c>
      <c r="W39" s="234" t="str">
        <f t="shared" si="2"/>
        <v/>
      </c>
      <c r="X39" s="234" t="str">
        <f t="shared" si="3"/>
        <v/>
      </c>
      <c r="Y39" s="234" t="str">
        <f t="shared" si="4"/>
        <v/>
      </c>
      <c r="AA39" s="235" t="s">
        <v>174</v>
      </c>
      <c r="AB39" s="213"/>
    </row>
    <row r="40" spans="1:28" x14ac:dyDescent="0.2">
      <c r="A40" s="287" t="str">
        <f t="shared" si="0"/>
        <v/>
      </c>
      <c r="B40" s="228"/>
      <c r="C40" s="228"/>
      <c r="D40" s="228"/>
      <c r="E40" s="236"/>
      <c r="F40" s="237"/>
      <c r="G40" s="238"/>
      <c r="H40" s="239"/>
      <c r="I40" s="239"/>
      <c r="J40" s="239"/>
      <c r="K40" s="239"/>
      <c r="L40" s="239"/>
      <c r="M40" s="239"/>
      <c r="N40" s="241"/>
      <c r="O40" s="413" t="s">
        <v>428</v>
      </c>
      <c r="P40" s="414">
        <v>25</v>
      </c>
      <c r="R40" s="234" t="str">
        <f t="shared" si="5"/>
        <v>NO</v>
      </c>
      <c r="S40" s="234" t="str">
        <f t="shared" si="6"/>
        <v/>
      </c>
      <c r="T40" s="234" t="str">
        <f t="shared" si="7"/>
        <v/>
      </c>
      <c r="U40" s="234" t="str">
        <f t="shared" si="1"/>
        <v>NO</v>
      </c>
      <c r="V40" s="234" t="str">
        <f t="shared" si="8"/>
        <v/>
      </c>
      <c r="W40" s="234" t="str">
        <f t="shared" si="2"/>
        <v/>
      </c>
      <c r="X40" s="234" t="str">
        <f t="shared" si="3"/>
        <v/>
      </c>
      <c r="Y40" s="234" t="str">
        <f t="shared" si="4"/>
        <v/>
      </c>
      <c r="AA40" s="235" t="s">
        <v>175</v>
      </c>
      <c r="AB40" s="213"/>
    </row>
    <row r="41" spans="1:28" x14ac:dyDescent="0.2">
      <c r="A41" s="287" t="str">
        <f t="shared" si="0"/>
        <v/>
      </c>
      <c r="B41" s="228"/>
      <c r="C41" s="228"/>
      <c r="D41" s="228"/>
      <c r="E41" s="236"/>
      <c r="F41" s="237"/>
      <c r="G41" s="238"/>
      <c r="H41" s="239"/>
      <c r="I41" s="239"/>
      <c r="J41" s="239"/>
      <c r="K41" s="239"/>
      <c r="L41" s="239"/>
      <c r="M41" s="239"/>
      <c r="N41" s="241"/>
      <c r="O41" s="413" t="s">
        <v>428</v>
      </c>
      <c r="P41" s="414">
        <v>26</v>
      </c>
      <c r="R41" s="234" t="str">
        <f t="shared" si="5"/>
        <v>NO</v>
      </c>
      <c r="S41" s="234" t="str">
        <f t="shared" si="6"/>
        <v/>
      </c>
      <c r="T41" s="234" t="str">
        <f t="shared" si="7"/>
        <v/>
      </c>
      <c r="U41" s="234" t="str">
        <f t="shared" si="1"/>
        <v>NO</v>
      </c>
      <c r="V41" s="234" t="str">
        <f t="shared" si="8"/>
        <v/>
      </c>
      <c r="W41" s="234" t="str">
        <f t="shared" si="2"/>
        <v/>
      </c>
      <c r="X41" s="234" t="str">
        <f t="shared" si="3"/>
        <v/>
      </c>
      <c r="Y41" s="234" t="str">
        <f t="shared" si="4"/>
        <v/>
      </c>
      <c r="AA41" s="235" t="s">
        <v>176</v>
      </c>
      <c r="AB41" s="213"/>
    </row>
    <row r="42" spans="1:28" x14ac:dyDescent="0.2">
      <c r="A42" s="287" t="str">
        <f t="shared" si="0"/>
        <v/>
      </c>
      <c r="B42" s="228"/>
      <c r="C42" s="228"/>
      <c r="D42" s="228"/>
      <c r="E42" s="236"/>
      <c r="F42" s="237"/>
      <c r="G42" s="238"/>
      <c r="H42" s="239"/>
      <c r="I42" s="239"/>
      <c r="J42" s="239"/>
      <c r="K42" s="239"/>
      <c r="L42" s="239"/>
      <c r="M42" s="239"/>
      <c r="N42" s="241"/>
      <c r="O42" s="413" t="s">
        <v>428</v>
      </c>
      <c r="P42" s="414">
        <v>27</v>
      </c>
      <c r="R42" s="234" t="str">
        <f t="shared" si="5"/>
        <v>NO</v>
      </c>
      <c r="S42" s="234" t="str">
        <f t="shared" si="6"/>
        <v/>
      </c>
      <c r="T42" s="234" t="str">
        <f t="shared" si="7"/>
        <v/>
      </c>
      <c r="U42" s="234" t="str">
        <f t="shared" si="1"/>
        <v>NO</v>
      </c>
      <c r="V42" s="234" t="str">
        <f t="shared" si="8"/>
        <v/>
      </c>
      <c r="W42" s="234" t="str">
        <f t="shared" si="2"/>
        <v/>
      </c>
      <c r="X42" s="234" t="str">
        <f t="shared" si="3"/>
        <v/>
      </c>
      <c r="Y42" s="234" t="str">
        <f t="shared" si="4"/>
        <v/>
      </c>
      <c r="AA42" s="235" t="s">
        <v>177</v>
      </c>
      <c r="AB42" s="213"/>
    </row>
    <row r="43" spans="1:28" x14ac:dyDescent="0.2">
      <c r="A43" s="287" t="str">
        <f t="shared" si="0"/>
        <v/>
      </c>
      <c r="B43" s="228"/>
      <c r="C43" s="228"/>
      <c r="D43" s="228"/>
      <c r="E43" s="236"/>
      <c r="F43" s="237"/>
      <c r="G43" s="238"/>
      <c r="H43" s="239"/>
      <c r="I43" s="239"/>
      <c r="J43" s="239"/>
      <c r="K43" s="239"/>
      <c r="L43" s="239"/>
      <c r="M43" s="239"/>
      <c r="N43" s="241"/>
      <c r="O43" s="413" t="s">
        <v>428</v>
      </c>
      <c r="P43" s="414">
        <v>28</v>
      </c>
      <c r="R43" s="234" t="str">
        <f t="shared" si="5"/>
        <v>NO</v>
      </c>
      <c r="S43" s="234" t="str">
        <f t="shared" si="6"/>
        <v/>
      </c>
      <c r="T43" s="234" t="str">
        <f t="shared" si="7"/>
        <v/>
      </c>
      <c r="U43" s="234" t="str">
        <f t="shared" si="1"/>
        <v>NO</v>
      </c>
      <c r="V43" s="234" t="str">
        <f t="shared" si="8"/>
        <v/>
      </c>
      <c r="W43" s="234" t="str">
        <f t="shared" si="2"/>
        <v/>
      </c>
      <c r="X43" s="234" t="str">
        <f t="shared" si="3"/>
        <v/>
      </c>
      <c r="Y43" s="234" t="str">
        <f t="shared" si="4"/>
        <v/>
      </c>
      <c r="AA43" s="235" t="s">
        <v>178</v>
      </c>
      <c r="AB43" s="213"/>
    </row>
    <row r="44" spans="1:28" x14ac:dyDescent="0.2">
      <c r="A44" s="287" t="str">
        <f t="shared" si="0"/>
        <v/>
      </c>
      <c r="B44" s="228"/>
      <c r="C44" s="228"/>
      <c r="D44" s="228"/>
      <c r="E44" s="236"/>
      <c r="F44" s="237"/>
      <c r="G44" s="238"/>
      <c r="H44" s="239"/>
      <c r="I44" s="239"/>
      <c r="J44" s="239"/>
      <c r="K44" s="239"/>
      <c r="L44" s="239"/>
      <c r="M44" s="239"/>
      <c r="N44" s="241"/>
      <c r="O44" s="413" t="s">
        <v>428</v>
      </c>
      <c r="P44" s="414">
        <v>29</v>
      </c>
      <c r="R44" s="234" t="str">
        <f t="shared" si="5"/>
        <v>NO</v>
      </c>
      <c r="S44" s="234" t="str">
        <f t="shared" si="6"/>
        <v/>
      </c>
      <c r="T44" s="234" t="str">
        <f t="shared" si="7"/>
        <v/>
      </c>
      <c r="U44" s="234" t="str">
        <f t="shared" si="1"/>
        <v>NO</v>
      </c>
      <c r="V44" s="234" t="str">
        <f t="shared" si="8"/>
        <v/>
      </c>
      <c r="W44" s="234" t="str">
        <f t="shared" si="2"/>
        <v/>
      </c>
      <c r="X44" s="234" t="str">
        <f t="shared" si="3"/>
        <v/>
      </c>
      <c r="Y44" s="234" t="str">
        <f t="shared" si="4"/>
        <v/>
      </c>
      <c r="AA44" s="235" t="s">
        <v>179</v>
      </c>
      <c r="AB44" s="213"/>
    </row>
    <row r="45" spans="1:28" x14ac:dyDescent="0.2">
      <c r="A45" s="287" t="str">
        <f t="shared" si="0"/>
        <v/>
      </c>
      <c r="B45" s="228"/>
      <c r="C45" s="228"/>
      <c r="D45" s="228"/>
      <c r="E45" s="236"/>
      <c r="F45" s="237"/>
      <c r="G45" s="238"/>
      <c r="H45" s="239"/>
      <c r="I45" s="239"/>
      <c r="J45" s="239"/>
      <c r="K45" s="239"/>
      <c r="L45" s="239"/>
      <c r="M45" s="239"/>
      <c r="N45" s="241"/>
      <c r="O45" s="413" t="s">
        <v>428</v>
      </c>
      <c r="P45" s="414">
        <v>30</v>
      </c>
      <c r="R45" s="234" t="str">
        <f t="shared" si="5"/>
        <v>NO</v>
      </c>
      <c r="S45" s="234" t="str">
        <f t="shared" si="6"/>
        <v/>
      </c>
      <c r="T45" s="234" t="str">
        <f t="shared" si="7"/>
        <v/>
      </c>
      <c r="U45" s="234" t="str">
        <f t="shared" si="1"/>
        <v>NO</v>
      </c>
      <c r="V45" s="234" t="str">
        <f t="shared" si="8"/>
        <v/>
      </c>
      <c r="W45" s="234" t="str">
        <f t="shared" si="2"/>
        <v/>
      </c>
      <c r="X45" s="234" t="str">
        <f t="shared" si="3"/>
        <v/>
      </c>
      <c r="Y45" s="234" t="str">
        <f t="shared" si="4"/>
        <v/>
      </c>
      <c r="AA45" s="235" t="s">
        <v>180</v>
      </c>
      <c r="AB45" s="213"/>
    </row>
    <row r="46" spans="1:28" x14ac:dyDescent="0.2">
      <c r="A46" s="287" t="str">
        <f t="shared" si="0"/>
        <v/>
      </c>
      <c r="B46" s="228"/>
      <c r="C46" s="228"/>
      <c r="D46" s="228"/>
      <c r="E46" s="236"/>
      <c r="F46" s="237"/>
      <c r="G46" s="238"/>
      <c r="H46" s="239"/>
      <c r="I46" s="239"/>
      <c r="J46" s="239"/>
      <c r="K46" s="239"/>
      <c r="L46" s="239"/>
      <c r="M46" s="239"/>
      <c r="N46" s="241"/>
      <c r="O46" s="413" t="s">
        <v>428</v>
      </c>
      <c r="P46" s="414">
        <v>31</v>
      </c>
      <c r="R46" s="234" t="str">
        <f t="shared" si="5"/>
        <v>NO</v>
      </c>
      <c r="S46" s="234" t="str">
        <f t="shared" si="6"/>
        <v/>
      </c>
      <c r="T46" s="234" t="str">
        <f t="shared" si="7"/>
        <v/>
      </c>
      <c r="U46" s="234" t="str">
        <f t="shared" si="1"/>
        <v>NO</v>
      </c>
      <c r="V46" s="234" t="str">
        <f t="shared" si="8"/>
        <v/>
      </c>
      <c r="W46" s="234" t="str">
        <f t="shared" si="2"/>
        <v/>
      </c>
      <c r="X46" s="234" t="str">
        <f t="shared" si="3"/>
        <v/>
      </c>
      <c r="Y46" s="234" t="str">
        <f t="shared" si="4"/>
        <v/>
      </c>
      <c r="AA46" s="235" t="s">
        <v>181</v>
      </c>
      <c r="AB46" s="213"/>
    </row>
    <row r="47" spans="1:28" x14ac:dyDescent="0.2">
      <c r="A47" s="287" t="str">
        <f t="shared" si="0"/>
        <v/>
      </c>
      <c r="B47" s="228"/>
      <c r="C47" s="228"/>
      <c r="D47" s="228"/>
      <c r="E47" s="236"/>
      <c r="F47" s="237"/>
      <c r="G47" s="238"/>
      <c r="H47" s="239"/>
      <c r="I47" s="239"/>
      <c r="J47" s="239"/>
      <c r="K47" s="239"/>
      <c r="L47" s="239"/>
      <c r="M47" s="239"/>
      <c r="N47" s="241"/>
      <c r="O47" s="413" t="s">
        <v>428</v>
      </c>
      <c r="P47" s="414">
        <v>32</v>
      </c>
      <c r="R47" s="234" t="str">
        <f t="shared" si="5"/>
        <v>NO</v>
      </c>
      <c r="S47" s="234" t="str">
        <f t="shared" si="6"/>
        <v/>
      </c>
      <c r="T47" s="234" t="str">
        <f t="shared" si="7"/>
        <v/>
      </c>
      <c r="U47" s="234" t="str">
        <f t="shared" si="1"/>
        <v>NO</v>
      </c>
      <c r="V47" s="234" t="str">
        <f t="shared" si="8"/>
        <v/>
      </c>
      <c r="W47" s="234" t="str">
        <f t="shared" si="2"/>
        <v/>
      </c>
      <c r="X47" s="234" t="str">
        <f t="shared" si="3"/>
        <v/>
      </c>
      <c r="Y47" s="234" t="str">
        <f t="shared" si="4"/>
        <v/>
      </c>
      <c r="AA47" s="235" t="s">
        <v>182</v>
      </c>
      <c r="AB47" s="213"/>
    </row>
    <row r="48" spans="1:28" x14ac:dyDescent="0.2">
      <c r="A48" s="287" t="str">
        <f t="shared" si="0"/>
        <v/>
      </c>
      <c r="B48" s="228"/>
      <c r="C48" s="228"/>
      <c r="D48" s="228"/>
      <c r="E48" s="236"/>
      <c r="F48" s="237"/>
      <c r="G48" s="238"/>
      <c r="H48" s="239"/>
      <c r="I48" s="239"/>
      <c r="J48" s="239"/>
      <c r="K48" s="239"/>
      <c r="L48" s="239"/>
      <c r="M48" s="239"/>
      <c r="N48" s="241"/>
      <c r="O48" s="413" t="s">
        <v>428</v>
      </c>
      <c r="P48" s="414">
        <v>33</v>
      </c>
      <c r="R48" s="234" t="str">
        <f t="shared" si="5"/>
        <v>NO</v>
      </c>
      <c r="S48" s="234" t="str">
        <f t="shared" si="6"/>
        <v/>
      </c>
      <c r="T48" s="234" t="str">
        <f t="shared" si="7"/>
        <v/>
      </c>
      <c r="U48" s="234" t="str">
        <f t="shared" si="1"/>
        <v>NO</v>
      </c>
      <c r="V48" s="234" t="str">
        <f t="shared" si="8"/>
        <v/>
      </c>
      <c r="W48" s="234" t="str">
        <f t="shared" si="2"/>
        <v/>
      </c>
      <c r="X48" s="234" t="str">
        <f t="shared" si="3"/>
        <v/>
      </c>
      <c r="Y48" s="234" t="str">
        <f t="shared" si="4"/>
        <v/>
      </c>
      <c r="AA48" s="235" t="s">
        <v>183</v>
      </c>
      <c r="AB48" s="213"/>
    </row>
    <row r="49" spans="1:28" x14ac:dyDescent="0.2">
      <c r="A49" s="287" t="str">
        <f t="shared" si="0"/>
        <v/>
      </c>
      <c r="B49" s="228"/>
      <c r="C49" s="228"/>
      <c r="D49" s="228"/>
      <c r="E49" s="236"/>
      <c r="F49" s="237"/>
      <c r="G49" s="238"/>
      <c r="H49" s="239"/>
      <c r="I49" s="239"/>
      <c r="J49" s="239"/>
      <c r="K49" s="239"/>
      <c r="L49" s="239"/>
      <c r="M49" s="239"/>
      <c r="N49" s="241"/>
      <c r="O49" s="413" t="s">
        <v>428</v>
      </c>
      <c r="P49" s="414">
        <v>34</v>
      </c>
      <c r="R49" s="234" t="str">
        <f t="shared" si="5"/>
        <v>NO</v>
      </c>
      <c r="S49" s="234" t="str">
        <f t="shared" si="6"/>
        <v/>
      </c>
      <c r="T49" s="234" t="str">
        <f t="shared" si="7"/>
        <v/>
      </c>
      <c r="U49" s="234" t="str">
        <f t="shared" si="1"/>
        <v>NO</v>
      </c>
      <c r="V49" s="234" t="str">
        <f t="shared" si="8"/>
        <v/>
      </c>
      <c r="W49" s="234" t="str">
        <f t="shared" si="2"/>
        <v/>
      </c>
      <c r="X49" s="234" t="str">
        <f t="shared" si="3"/>
        <v/>
      </c>
      <c r="Y49" s="234" t="str">
        <f t="shared" si="4"/>
        <v/>
      </c>
      <c r="AA49" s="235" t="s">
        <v>184</v>
      </c>
      <c r="AB49" s="213"/>
    </row>
    <row r="50" spans="1:28" x14ac:dyDescent="0.2">
      <c r="A50" s="287" t="str">
        <f t="shared" si="0"/>
        <v/>
      </c>
      <c r="B50" s="228"/>
      <c r="C50" s="228"/>
      <c r="D50" s="228"/>
      <c r="E50" s="236"/>
      <c r="F50" s="237"/>
      <c r="G50" s="238"/>
      <c r="H50" s="239"/>
      <c r="I50" s="239"/>
      <c r="J50" s="239"/>
      <c r="K50" s="239"/>
      <c r="L50" s="239"/>
      <c r="M50" s="239"/>
      <c r="N50" s="241"/>
      <c r="O50" s="413" t="s">
        <v>428</v>
      </c>
      <c r="P50" s="414">
        <v>35</v>
      </c>
      <c r="R50" s="234" t="str">
        <f t="shared" si="5"/>
        <v>NO</v>
      </c>
      <c r="S50" s="234" t="str">
        <f t="shared" si="6"/>
        <v/>
      </c>
      <c r="T50" s="234" t="str">
        <f t="shared" si="7"/>
        <v/>
      </c>
      <c r="U50" s="234" t="str">
        <f t="shared" si="1"/>
        <v>NO</v>
      </c>
      <c r="V50" s="234" t="str">
        <f t="shared" si="8"/>
        <v/>
      </c>
      <c r="W50" s="234" t="str">
        <f t="shared" si="2"/>
        <v/>
      </c>
      <c r="X50" s="234" t="str">
        <f t="shared" si="3"/>
        <v/>
      </c>
      <c r="Y50" s="234" t="str">
        <f t="shared" si="4"/>
        <v/>
      </c>
      <c r="AA50" s="235" t="s">
        <v>185</v>
      </c>
      <c r="AB50" s="213"/>
    </row>
    <row r="51" spans="1:28" x14ac:dyDescent="0.2">
      <c r="A51" s="287" t="str">
        <f t="shared" si="0"/>
        <v/>
      </c>
      <c r="B51" s="228"/>
      <c r="C51" s="228"/>
      <c r="D51" s="228"/>
      <c r="E51" s="236"/>
      <c r="F51" s="237"/>
      <c r="G51" s="238"/>
      <c r="H51" s="239"/>
      <c r="I51" s="239"/>
      <c r="J51" s="239"/>
      <c r="K51" s="239"/>
      <c r="L51" s="239"/>
      <c r="M51" s="239"/>
      <c r="N51" s="241"/>
      <c r="O51" s="413" t="s">
        <v>428</v>
      </c>
      <c r="P51" s="414">
        <v>36</v>
      </c>
      <c r="R51" s="234" t="str">
        <f t="shared" si="5"/>
        <v>NO</v>
      </c>
      <c r="S51" s="234" t="str">
        <f t="shared" si="6"/>
        <v/>
      </c>
      <c r="T51" s="234" t="str">
        <f t="shared" si="7"/>
        <v/>
      </c>
      <c r="U51" s="234" t="str">
        <f t="shared" si="1"/>
        <v>NO</v>
      </c>
      <c r="V51" s="234" t="str">
        <f t="shared" si="8"/>
        <v/>
      </c>
      <c r="W51" s="234" t="str">
        <f t="shared" si="2"/>
        <v/>
      </c>
      <c r="X51" s="234" t="str">
        <f t="shared" si="3"/>
        <v/>
      </c>
      <c r="Y51" s="234" t="str">
        <f t="shared" si="4"/>
        <v/>
      </c>
      <c r="AA51" s="235" t="s">
        <v>186</v>
      </c>
      <c r="AB51" s="213"/>
    </row>
    <row r="52" spans="1:28" x14ac:dyDescent="0.2">
      <c r="A52" s="287" t="str">
        <f t="shared" si="0"/>
        <v/>
      </c>
      <c r="B52" s="228"/>
      <c r="C52" s="228"/>
      <c r="D52" s="228"/>
      <c r="E52" s="236"/>
      <c r="F52" s="237"/>
      <c r="G52" s="238"/>
      <c r="H52" s="239"/>
      <c r="I52" s="239"/>
      <c r="J52" s="239"/>
      <c r="K52" s="239"/>
      <c r="L52" s="239"/>
      <c r="M52" s="239"/>
      <c r="N52" s="241"/>
      <c r="O52" s="413" t="s">
        <v>428</v>
      </c>
      <c r="P52" s="414">
        <v>37</v>
      </c>
      <c r="R52" s="234" t="str">
        <f t="shared" si="5"/>
        <v>NO</v>
      </c>
      <c r="S52" s="234" t="str">
        <f t="shared" si="6"/>
        <v/>
      </c>
      <c r="T52" s="234" t="str">
        <f t="shared" si="7"/>
        <v/>
      </c>
      <c r="U52" s="234" t="str">
        <f t="shared" si="1"/>
        <v>NO</v>
      </c>
      <c r="V52" s="234" t="str">
        <f t="shared" si="8"/>
        <v/>
      </c>
      <c r="W52" s="234" t="str">
        <f t="shared" si="2"/>
        <v/>
      </c>
      <c r="X52" s="234" t="str">
        <f t="shared" si="3"/>
        <v/>
      </c>
      <c r="Y52" s="234" t="str">
        <f t="shared" si="4"/>
        <v/>
      </c>
      <c r="AA52" s="235" t="s">
        <v>187</v>
      </c>
      <c r="AB52" s="213"/>
    </row>
    <row r="53" spans="1:28" x14ac:dyDescent="0.2">
      <c r="A53" s="287" t="str">
        <f t="shared" si="0"/>
        <v/>
      </c>
      <c r="B53" s="228"/>
      <c r="C53" s="228"/>
      <c r="D53" s="228"/>
      <c r="E53" s="236"/>
      <c r="F53" s="237"/>
      <c r="G53" s="238"/>
      <c r="H53" s="239"/>
      <c r="I53" s="239"/>
      <c r="J53" s="239"/>
      <c r="K53" s="239"/>
      <c r="L53" s="239"/>
      <c r="M53" s="239"/>
      <c r="N53" s="241"/>
      <c r="O53" s="413" t="s">
        <v>428</v>
      </c>
      <c r="P53" s="414">
        <v>38</v>
      </c>
      <c r="R53" s="234" t="str">
        <f t="shared" si="5"/>
        <v>NO</v>
      </c>
      <c r="S53" s="234" t="str">
        <f t="shared" si="6"/>
        <v/>
      </c>
      <c r="T53" s="234" t="str">
        <f t="shared" si="7"/>
        <v/>
      </c>
      <c r="U53" s="234" t="str">
        <f t="shared" si="1"/>
        <v>NO</v>
      </c>
      <c r="V53" s="234" t="str">
        <f t="shared" si="8"/>
        <v/>
      </c>
      <c r="W53" s="234" t="str">
        <f t="shared" si="2"/>
        <v/>
      </c>
      <c r="X53" s="234" t="str">
        <f t="shared" si="3"/>
        <v/>
      </c>
      <c r="Y53" s="234" t="str">
        <f t="shared" si="4"/>
        <v/>
      </c>
      <c r="AA53" s="235" t="s">
        <v>188</v>
      </c>
      <c r="AB53" s="213"/>
    </row>
    <row r="54" spans="1:28" x14ac:dyDescent="0.2">
      <c r="A54" s="287" t="str">
        <f t="shared" si="0"/>
        <v/>
      </c>
      <c r="B54" s="228"/>
      <c r="C54" s="228"/>
      <c r="D54" s="228"/>
      <c r="E54" s="236"/>
      <c r="F54" s="237"/>
      <c r="G54" s="238"/>
      <c r="H54" s="239"/>
      <c r="I54" s="239"/>
      <c r="J54" s="239"/>
      <c r="K54" s="239"/>
      <c r="L54" s="239"/>
      <c r="M54" s="239"/>
      <c r="N54" s="241"/>
      <c r="O54" s="413" t="s">
        <v>428</v>
      </c>
      <c r="P54" s="414">
        <v>39</v>
      </c>
      <c r="R54" s="234" t="str">
        <f t="shared" si="5"/>
        <v>NO</v>
      </c>
      <c r="S54" s="234" t="str">
        <f t="shared" si="6"/>
        <v/>
      </c>
      <c r="T54" s="234" t="str">
        <f t="shared" si="7"/>
        <v/>
      </c>
      <c r="U54" s="234" t="str">
        <f t="shared" si="1"/>
        <v>NO</v>
      </c>
      <c r="V54" s="234" t="str">
        <f t="shared" si="8"/>
        <v/>
      </c>
      <c r="W54" s="234" t="str">
        <f t="shared" si="2"/>
        <v/>
      </c>
      <c r="X54" s="234" t="str">
        <f t="shared" si="3"/>
        <v/>
      </c>
      <c r="Y54" s="234" t="str">
        <f t="shared" si="4"/>
        <v/>
      </c>
      <c r="AA54" s="235" t="s">
        <v>189</v>
      </c>
      <c r="AB54" s="213"/>
    </row>
    <row r="55" spans="1:28" x14ac:dyDescent="0.2">
      <c r="A55" s="288" t="str">
        <f t="shared" si="0"/>
        <v/>
      </c>
      <c r="B55" s="242"/>
      <c r="C55" s="242"/>
      <c r="D55" s="242"/>
      <c r="E55" s="243"/>
      <c r="F55" s="244"/>
      <c r="G55" s="245"/>
      <c r="H55" s="246"/>
      <c r="I55" s="246"/>
      <c r="J55" s="246"/>
      <c r="K55" s="246"/>
      <c r="L55" s="246"/>
      <c r="M55" s="246"/>
      <c r="N55" s="247"/>
      <c r="O55" s="413" t="s">
        <v>428</v>
      </c>
      <c r="P55" s="414">
        <v>40</v>
      </c>
      <c r="R55" s="234" t="str">
        <f t="shared" si="5"/>
        <v>NO</v>
      </c>
      <c r="S55" s="234" t="str">
        <f t="shared" si="6"/>
        <v/>
      </c>
      <c r="T55" s="234" t="str">
        <f t="shared" si="7"/>
        <v/>
      </c>
      <c r="U55" s="234" t="str">
        <f t="shared" si="1"/>
        <v>NO</v>
      </c>
      <c r="V55" s="234" t="str">
        <f t="shared" si="8"/>
        <v/>
      </c>
      <c r="W55" s="234" t="str">
        <f t="shared" si="2"/>
        <v/>
      </c>
      <c r="X55" s="234" t="str">
        <f t="shared" si="3"/>
        <v/>
      </c>
      <c r="Y55" s="234" t="str">
        <f t="shared" si="4"/>
        <v/>
      </c>
      <c r="AA55" s="235" t="s">
        <v>190</v>
      </c>
      <c r="AB55" s="213"/>
    </row>
    <row r="56" spans="1:28" ht="18.75" hidden="1" customHeight="1" x14ac:dyDescent="0.2">
      <c r="A56" s="248"/>
      <c r="B56" s="110"/>
      <c r="C56" s="249"/>
      <c r="D56" s="249"/>
      <c r="E56" s="249"/>
      <c r="F56" s="249"/>
      <c r="G56" s="249"/>
      <c r="H56" s="249"/>
      <c r="I56" s="249"/>
      <c r="J56" s="249"/>
      <c r="K56" s="249"/>
      <c r="L56" s="249"/>
      <c r="M56" s="250"/>
      <c r="N56" s="251"/>
      <c r="O56" s="87"/>
      <c r="P56" s="88"/>
      <c r="R56" s="252"/>
      <c r="S56" s="252"/>
      <c r="T56" s="252"/>
      <c r="U56" s="252"/>
      <c r="V56" s="252"/>
      <c r="W56" s="252"/>
      <c r="X56" s="252"/>
      <c r="Y56" s="252"/>
      <c r="AB56" s="213"/>
    </row>
    <row r="57" spans="1:28" hidden="1" x14ac:dyDescent="0.2">
      <c r="A57" s="253" t="s">
        <v>191</v>
      </c>
      <c r="B57" s="249"/>
      <c r="C57" s="249"/>
      <c r="D57" s="249"/>
      <c r="E57" s="249"/>
      <c r="F57" s="249"/>
      <c r="G57" s="249"/>
      <c r="H57" s="249"/>
      <c r="I57" s="249"/>
      <c r="J57" s="249"/>
      <c r="K57" s="249"/>
      <c r="L57" s="249"/>
      <c r="M57" s="250"/>
      <c r="N57" s="254"/>
      <c r="O57" s="225"/>
      <c r="P57" s="88"/>
      <c r="R57" s="252"/>
      <c r="S57" s="252"/>
      <c r="T57" s="252"/>
      <c r="U57" s="252"/>
      <c r="V57" s="252"/>
      <c r="W57" s="252"/>
      <c r="X57" s="252"/>
      <c r="Y57" s="252"/>
      <c r="AB57" s="213"/>
    </row>
    <row r="58" spans="1:28" hidden="1" x14ac:dyDescent="0.2">
      <c r="A58" s="255" t="s">
        <v>0</v>
      </c>
      <c r="B58" s="256" t="s">
        <v>125</v>
      </c>
      <c r="C58" s="257" t="s">
        <v>126</v>
      </c>
      <c r="D58" s="258" t="s">
        <v>127</v>
      </c>
      <c r="E58" s="259" t="s">
        <v>128</v>
      </c>
      <c r="F58" s="257" t="s">
        <v>129</v>
      </c>
      <c r="G58" s="258" t="s">
        <v>130</v>
      </c>
      <c r="H58" s="258" t="s">
        <v>131</v>
      </c>
      <c r="I58" s="259" t="s">
        <v>4</v>
      </c>
      <c r="J58" s="258" t="s">
        <v>5</v>
      </c>
      <c r="K58" s="259" t="s">
        <v>6</v>
      </c>
      <c r="L58" s="259" t="s">
        <v>7</v>
      </c>
      <c r="M58" s="258" t="s">
        <v>405</v>
      </c>
      <c r="N58" s="260" t="s">
        <v>87</v>
      </c>
      <c r="O58" s="87"/>
      <c r="P58" s="88"/>
      <c r="R58" s="252"/>
      <c r="S58" s="252"/>
      <c r="T58" s="252"/>
      <c r="U58" s="252"/>
      <c r="V58" s="252"/>
      <c r="W58" s="252"/>
      <c r="X58" s="252"/>
      <c r="Y58" s="252"/>
      <c r="AB58" s="213"/>
    </row>
    <row r="59" spans="1:28" s="353" customFormat="1" ht="15" hidden="1" x14ac:dyDescent="0.25">
      <c r="A59" s="261">
        <v>1</v>
      </c>
      <c r="B59" s="262" t="s">
        <v>580</v>
      </c>
      <c r="C59" s="263" t="s">
        <v>292</v>
      </c>
      <c r="D59" s="264" t="s">
        <v>367</v>
      </c>
      <c r="E59" s="265" t="s">
        <v>581</v>
      </c>
      <c r="F59" s="263" t="s">
        <v>94</v>
      </c>
      <c r="G59" s="264" t="s">
        <v>357</v>
      </c>
      <c r="H59" s="264">
        <v>5</v>
      </c>
      <c r="I59" s="265">
        <v>6</v>
      </c>
      <c r="J59" s="264">
        <v>7</v>
      </c>
      <c r="K59" s="265">
        <v>8</v>
      </c>
      <c r="L59" s="264">
        <v>9</v>
      </c>
      <c r="M59" s="265" t="s">
        <v>582</v>
      </c>
      <c r="N59" s="264" t="s">
        <v>583</v>
      </c>
      <c r="O59" s="266"/>
      <c r="P59" s="227"/>
      <c r="Q59" s="267"/>
      <c r="R59" s="268"/>
      <c r="S59" s="268"/>
      <c r="T59" s="268"/>
      <c r="U59" s="268"/>
      <c r="V59" s="268"/>
      <c r="W59" s="268"/>
      <c r="X59" s="268"/>
      <c r="Y59" s="268"/>
      <c r="Z59" s="267"/>
      <c r="AA59" s="267"/>
      <c r="AB59" s="269"/>
    </row>
    <row r="60" spans="1:28" s="353" customFormat="1" ht="15" hidden="1" x14ac:dyDescent="0.25">
      <c r="A60" s="261">
        <v>2</v>
      </c>
      <c r="B60" s="262" t="s">
        <v>326</v>
      </c>
      <c r="C60" s="263" t="s">
        <v>296</v>
      </c>
      <c r="D60" s="270" t="s">
        <v>394</v>
      </c>
      <c r="E60" s="271" t="s">
        <v>584</v>
      </c>
      <c r="F60" s="272" t="s">
        <v>94</v>
      </c>
      <c r="G60" s="270" t="s">
        <v>357</v>
      </c>
      <c r="H60" s="270">
        <v>30</v>
      </c>
      <c r="I60" s="271">
        <v>60</v>
      </c>
      <c r="J60" s="270">
        <v>70</v>
      </c>
      <c r="K60" s="271">
        <v>80</v>
      </c>
      <c r="L60" s="270">
        <v>90</v>
      </c>
      <c r="M60" s="271" t="s">
        <v>582</v>
      </c>
      <c r="N60" s="270" t="s">
        <v>585</v>
      </c>
      <c r="O60" s="266"/>
      <c r="P60" s="227"/>
      <c r="Q60" s="267"/>
      <c r="R60" s="268"/>
      <c r="S60" s="268"/>
      <c r="T60" s="268"/>
      <c r="U60" s="268"/>
      <c r="V60" s="268"/>
      <c r="W60" s="268"/>
      <c r="X60" s="268"/>
      <c r="Y60" s="268"/>
      <c r="Z60" s="267"/>
      <c r="AA60" s="267"/>
      <c r="AB60" s="269"/>
    </row>
    <row r="61" spans="1:28" s="353" customFormat="1" ht="15" hidden="1" x14ac:dyDescent="0.25">
      <c r="A61" s="261">
        <v>3</v>
      </c>
      <c r="B61" s="262" t="s">
        <v>326</v>
      </c>
      <c r="C61" s="263" t="s">
        <v>289</v>
      </c>
      <c r="D61" s="270" t="s">
        <v>402</v>
      </c>
      <c r="E61" s="271" t="s">
        <v>586</v>
      </c>
      <c r="F61" s="272" t="s">
        <v>94</v>
      </c>
      <c r="G61" s="270" t="s">
        <v>357</v>
      </c>
      <c r="H61" s="270">
        <v>10</v>
      </c>
      <c r="I61" s="271">
        <v>25</v>
      </c>
      <c r="J61" s="270">
        <v>30</v>
      </c>
      <c r="K61" s="271">
        <v>35</v>
      </c>
      <c r="L61" s="270">
        <v>40</v>
      </c>
      <c r="M61" s="271" t="s">
        <v>582</v>
      </c>
      <c r="N61" s="270" t="s">
        <v>585</v>
      </c>
      <c r="O61" s="266"/>
      <c r="P61" s="227"/>
      <c r="Q61" s="267"/>
      <c r="R61" s="268"/>
      <c r="S61" s="268"/>
      <c r="T61" s="268"/>
      <c r="U61" s="268"/>
      <c r="V61" s="268"/>
      <c r="W61" s="268"/>
      <c r="X61" s="268"/>
      <c r="Y61" s="268"/>
      <c r="Z61" s="267"/>
      <c r="AA61" s="267"/>
      <c r="AB61" s="269"/>
    </row>
    <row r="62" spans="1:28" s="353" customFormat="1" ht="15" hidden="1" x14ac:dyDescent="0.25">
      <c r="A62" s="261">
        <v>4</v>
      </c>
      <c r="B62" s="262" t="s">
        <v>580</v>
      </c>
      <c r="C62" s="263" t="s">
        <v>296</v>
      </c>
      <c r="D62" s="270" t="s">
        <v>370</v>
      </c>
      <c r="E62" s="271" t="s">
        <v>587</v>
      </c>
      <c r="F62" s="272" t="s">
        <v>94</v>
      </c>
      <c r="G62" s="270" t="s">
        <v>357</v>
      </c>
      <c r="H62" s="270">
        <v>10</v>
      </c>
      <c r="I62" s="271">
        <v>30</v>
      </c>
      <c r="J62" s="270">
        <v>30</v>
      </c>
      <c r="K62" s="271">
        <v>30</v>
      </c>
      <c r="L62" s="270">
        <v>30</v>
      </c>
      <c r="M62" s="271" t="s">
        <v>582</v>
      </c>
      <c r="N62" s="270" t="s">
        <v>588</v>
      </c>
      <c r="O62" s="266"/>
      <c r="P62" s="227"/>
      <c r="Q62" s="267"/>
      <c r="R62" s="268"/>
      <c r="S62" s="268"/>
      <c r="T62" s="268"/>
      <c r="U62" s="268"/>
      <c r="V62" s="268"/>
      <c r="W62" s="268"/>
      <c r="X62" s="268"/>
      <c r="Y62" s="268"/>
      <c r="Z62" s="267"/>
      <c r="AA62" s="267"/>
      <c r="AB62" s="269"/>
    </row>
    <row r="63" spans="1:28" s="353" customFormat="1" ht="15" hidden="1" x14ac:dyDescent="0.25">
      <c r="A63" s="261">
        <v>5</v>
      </c>
      <c r="B63" s="262" t="s">
        <v>580</v>
      </c>
      <c r="C63" s="263" t="s">
        <v>292</v>
      </c>
      <c r="D63" s="270" t="s">
        <v>393</v>
      </c>
      <c r="E63" s="271" t="s">
        <v>589</v>
      </c>
      <c r="F63" s="272" t="s">
        <v>94</v>
      </c>
      <c r="G63" s="270" t="s">
        <v>356</v>
      </c>
      <c r="H63" s="270">
        <v>88</v>
      </c>
      <c r="I63" s="271">
        <v>94</v>
      </c>
      <c r="J63" s="270">
        <v>95</v>
      </c>
      <c r="K63" s="271">
        <v>95</v>
      </c>
      <c r="L63" s="270">
        <v>95</v>
      </c>
      <c r="M63" s="271" t="s">
        <v>582</v>
      </c>
      <c r="N63" s="270" t="s">
        <v>590</v>
      </c>
      <c r="O63" s="266"/>
      <c r="P63" s="227"/>
      <c r="Q63" s="267"/>
      <c r="R63" s="268"/>
      <c r="S63" s="268"/>
      <c r="T63" s="268"/>
      <c r="U63" s="268"/>
      <c r="V63" s="268"/>
      <c r="W63" s="268"/>
      <c r="X63" s="268"/>
      <c r="Y63" s="268"/>
      <c r="Z63" s="267"/>
      <c r="AA63" s="267"/>
      <c r="AB63" s="269"/>
    </row>
    <row r="64" spans="1:28" s="353" customFormat="1" hidden="1" x14ac:dyDescent="0.2">
      <c r="A64" s="261">
        <v>6</v>
      </c>
      <c r="B64" s="262"/>
      <c r="C64" s="263"/>
      <c r="D64" s="270"/>
      <c r="E64" s="271"/>
      <c r="F64" s="272"/>
      <c r="G64" s="270"/>
      <c r="H64" s="270"/>
      <c r="I64" s="271"/>
      <c r="J64" s="270"/>
      <c r="K64" s="271"/>
      <c r="L64" s="270"/>
      <c r="M64" s="271"/>
      <c r="N64" s="270"/>
      <c r="O64" s="266"/>
      <c r="P64" s="227"/>
      <c r="Q64" s="267"/>
      <c r="R64" s="268"/>
      <c r="S64" s="268"/>
      <c r="T64" s="268"/>
      <c r="U64" s="268"/>
      <c r="V64" s="268"/>
      <c r="W64" s="268"/>
      <c r="X64" s="268"/>
      <c r="Y64" s="268"/>
      <c r="Z64" s="267"/>
      <c r="AA64" s="267"/>
      <c r="AB64" s="269"/>
    </row>
    <row r="65" spans="1:28" s="353" customFormat="1" hidden="1" x14ac:dyDescent="0.2">
      <c r="A65" s="261">
        <v>7</v>
      </c>
      <c r="B65" s="262"/>
      <c r="C65" s="263"/>
      <c r="D65" s="270"/>
      <c r="E65" s="271"/>
      <c r="F65" s="272"/>
      <c r="G65" s="270"/>
      <c r="H65" s="270"/>
      <c r="I65" s="271"/>
      <c r="J65" s="270"/>
      <c r="K65" s="271"/>
      <c r="L65" s="270"/>
      <c r="M65" s="271"/>
      <c r="N65" s="270"/>
      <c r="O65" s="266"/>
      <c r="P65" s="227"/>
      <c r="Q65" s="267"/>
      <c r="R65" s="268"/>
      <c r="S65" s="268"/>
      <c r="T65" s="268"/>
      <c r="U65" s="268"/>
      <c r="V65" s="268"/>
      <c r="W65" s="268"/>
      <c r="X65" s="268"/>
      <c r="Y65" s="268"/>
      <c r="Z65" s="267"/>
      <c r="AA65" s="267"/>
      <c r="AB65" s="269"/>
    </row>
    <row r="66" spans="1:28" s="353" customFormat="1" hidden="1" x14ac:dyDescent="0.2">
      <c r="A66" s="261">
        <v>8</v>
      </c>
      <c r="B66" s="262"/>
      <c r="C66" s="263"/>
      <c r="D66" s="270"/>
      <c r="E66" s="271"/>
      <c r="F66" s="272"/>
      <c r="G66" s="270"/>
      <c r="H66" s="270"/>
      <c r="I66" s="271"/>
      <c r="J66" s="270"/>
      <c r="K66" s="271"/>
      <c r="L66" s="270"/>
      <c r="M66" s="271"/>
      <c r="N66" s="270"/>
      <c r="O66" s="266"/>
      <c r="P66" s="227"/>
      <c r="Q66" s="267"/>
      <c r="R66" s="268"/>
      <c r="S66" s="268"/>
      <c r="T66" s="268"/>
      <c r="U66" s="268"/>
      <c r="V66" s="268"/>
      <c r="W66" s="268"/>
      <c r="X66" s="268"/>
      <c r="Y66" s="268"/>
      <c r="Z66" s="267"/>
      <c r="AA66" s="267"/>
      <c r="AB66" s="269"/>
    </row>
    <row r="67" spans="1:28" s="353" customFormat="1" hidden="1" x14ac:dyDescent="0.2">
      <c r="A67" s="261">
        <v>9</v>
      </c>
      <c r="B67" s="262"/>
      <c r="C67" s="263"/>
      <c r="D67" s="270"/>
      <c r="E67" s="271"/>
      <c r="F67" s="272"/>
      <c r="G67" s="270"/>
      <c r="H67" s="270"/>
      <c r="I67" s="271"/>
      <c r="J67" s="270"/>
      <c r="K67" s="271"/>
      <c r="L67" s="270"/>
      <c r="M67" s="271"/>
      <c r="N67" s="270"/>
      <c r="O67" s="266"/>
      <c r="P67" s="227"/>
      <c r="Q67" s="267"/>
      <c r="R67" s="268"/>
      <c r="S67" s="268"/>
      <c r="T67" s="268"/>
      <c r="U67" s="268"/>
      <c r="V67" s="268"/>
      <c r="W67" s="268"/>
      <c r="X67" s="268"/>
      <c r="Y67" s="268"/>
      <c r="Z67" s="267"/>
      <c r="AA67" s="267"/>
      <c r="AB67" s="269"/>
    </row>
    <row r="68" spans="1:28" s="353" customFormat="1" hidden="1" x14ac:dyDescent="0.2">
      <c r="A68" s="261">
        <v>10</v>
      </c>
      <c r="B68" s="262"/>
      <c r="C68" s="263"/>
      <c r="D68" s="270"/>
      <c r="E68" s="271"/>
      <c r="F68" s="272"/>
      <c r="G68" s="270"/>
      <c r="H68" s="270"/>
      <c r="I68" s="271"/>
      <c r="J68" s="270"/>
      <c r="K68" s="271"/>
      <c r="L68" s="270"/>
      <c r="M68" s="271"/>
      <c r="N68" s="270"/>
      <c r="O68" s="266"/>
      <c r="P68" s="227"/>
      <c r="Q68" s="267"/>
      <c r="R68" s="268"/>
      <c r="S68" s="268"/>
      <c r="T68" s="268"/>
      <c r="U68" s="268"/>
      <c r="V68" s="268"/>
      <c r="W68" s="268"/>
      <c r="X68" s="268"/>
      <c r="Y68" s="268"/>
      <c r="Z68" s="267"/>
      <c r="AA68" s="267"/>
      <c r="AB68" s="269"/>
    </row>
    <row r="69" spans="1:28" s="353" customFormat="1" hidden="1" x14ac:dyDescent="0.2">
      <c r="A69" s="261">
        <v>11</v>
      </c>
      <c r="B69" s="262"/>
      <c r="C69" s="263"/>
      <c r="D69" s="270"/>
      <c r="E69" s="271"/>
      <c r="F69" s="272"/>
      <c r="G69" s="270"/>
      <c r="H69" s="270"/>
      <c r="I69" s="271"/>
      <c r="J69" s="270"/>
      <c r="K69" s="271"/>
      <c r="L69" s="270"/>
      <c r="M69" s="271"/>
      <c r="N69" s="270"/>
      <c r="O69" s="266"/>
      <c r="P69" s="227"/>
      <c r="Q69" s="267"/>
      <c r="R69" s="268"/>
      <c r="S69" s="268"/>
      <c r="T69" s="268"/>
      <c r="U69" s="268"/>
      <c r="V69" s="268"/>
      <c r="W69" s="268"/>
      <c r="X69" s="268"/>
      <c r="Y69" s="268"/>
      <c r="Z69" s="267"/>
      <c r="AA69" s="267"/>
      <c r="AB69" s="269"/>
    </row>
    <row r="70" spans="1:28" s="353" customFormat="1" hidden="1" x14ac:dyDescent="0.2">
      <c r="A70" s="261">
        <v>12</v>
      </c>
      <c r="B70" s="262"/>
      <c r="C70" s="263"/>
      <c r="D70" s="270"/>
      <c r="E70" s="271"/>
      <c r="F70" s="272"/>
      <c r="G70" s="270"/>
      <c r="H70" s="270"/>
      <c r="I70" s="271"/>
      <c r="J70" s="270"/>
      <c r="K70" s="271"/>
      <c r="L70" s="270"/>
      <c r="M70" s="271"/>
      <c r="N70" s="270"/>
      <c r="O70" s="266"/>
      <c r="P70" s="227"/>
      <c r="Q70" s="267"/>
      <c r="R70" s="268"/>
      <c r="S70" s="268"/>
      <c r="T70" s="268"/>
      <c r="U70" s="268"/>
      <c r="V70" s="268"/>
      <c r="W70" s="268"/>
      <c r="X70" s="268"/>
      <c r="Y70" s="268"/>
      <c r="Z70" s="267"/>
      <c r="AA70" s="267"/>
      <c r="AB70" s="269"/>
    </row>
    <row r="71" spans="1:28" s="353" customFormat="1" hidden="1" x14ac:dyDescent="0.2">
      <c r="A71" s="261">
        <v>13</v>
      </c>
      <c r="B71" s="262"/>
      <c r="C71" s="263"/>
      <c r="D71" s="270"/>
      <c r="E71" s="271"/>
      <c r="F71" s="272"/>
      <c r="G71" s="270"/>
      <c r="H71" s="270"/>
      <c r="I71" s="271"/>
      <c r="J71" s="270"/>
      <c r="K71" s="271"/>
      <c r="L71" s="270"/>
      <c r="M71" s="271"/>
      <c r="N71" s="270"/>
      <c r="O71" s="266"/>
      <c r="P71" s="227"/>
      <c r="Q71" s="267"/>
      <c r="R71" s="268"/>
      <c r="S71" s="268"/>
      <c r="T71" s="268"/>
      <c r="U71" s="268"/>
      <c r="V71" s="268"/>
      <c r="W71" s="268"/>
      <c r="X71" s="268"/>
      <c r="Y71" s="268"/>
      <c r="Z71" s="267"/>
      <c r="AA71" s="267"/>
      <c r="AB71" s="269"/>
    </row>
    <row r="72" spans="1:28" s="353" customFormat="1" hidden="1" x14ac:dyDescent="0.2">
      <c r="A72" s="261">
        <v>14</v>
      </c>
      <c r="B72" s="262"/>
      <c r="C72" s="263"/>
      <c r="D72" s="270"/>
      <c r="E72" s="271"/>
      <c r="F72" s="272"/>
      <c r="G72" s="270"/>
      <c r="H72" s="270"/>
      <c r="I72" s="271"/>
      <c r="J72" s="270"/>
      <c r="K72" s="271"/>
      <c r="L72" s="270"/>
      <c r="M72" s="271"/>
      <c r="N72" s="270"/>
      <c r="O72" s="266"/>
      <c r="P72" s="227"/>
      <c r="Q72" s="267"/>
      <c r="R72" s="268"/>
      <c r="S72" s="268"/>
      <c r="T72" s="268"/>
      <c r="U72" s="268"/>
      <c r="V72" s="268"/>
      <c r="W72" s="268"/>
      <c r="X72" s="268"/>
      <c r="Y72" s="268"/>
      <c r="Z72" s="267"/>
      <c r="AA72" s="267"/>
      <c r="AB72" s="269"/>
    </row>
    <row r="73" spans="1:28" s="353" customFormat="1" hidden="1" x14ac:dyDescent="0.2">
      <c r="A73" s="261">
        <v>15</v>
      </c>
      <c r="B73" s="262"/>
      <c r="C73" s="263"/>
      <c r="D73" s="270"/>
      <c r="E73" s="271"/>
      <c r="F73" s="272"/>
      <c r="G73" s="270"/>
      <c r="H73" s="270"/>
      <c r="I73" s="271"/>
      <c r="J73" s="270"/>
      <c r="K73" s="271"/>
      <c r="L73" s="270"/>
      <c r="M73" s="271"/>
      <c r="N73" s="270"/>
      <c r="O73" s="266"/>
      <c r="P73" s="227"/>
      <c r="Q73" s="267"/>
      <c r="R73" s="268"/>
      <c r="S73" s="268"/>
      <c r="T73" s="268"/>
      <c r="U73" s="268"/>
      <c r="V73" s="268"/>
      <c r="W73" s="268"/>
      <c r="X73" s="268"/>
      <c r="Y73" s="268"/>
      <c r="Z73" s="267"/>
      <c r="AA73" s="267"/>
      <c r="AB73" s="269"/>
    </row>
    <row r="74" spans="1:28" s="353" customFormat="1" hidden="1" x14ac:dyDescent="0.2">
      <c r="A74" s="261">
        <v>16</v>
      </c>
      <c r="B74" s="262"/>
      <c r="C74" s="263"/>
      <c r="D74" s="270"/>
      <c r="E74" s="271"/>
      <c r="F74" s="272"/>
      <c r="G74" s="270"/>
      <c r="H74" s="270"/>
      <c r="I74" s="271"/>
      <c r="J74" s="270"/>
      <c r="K74" s="271"/>
      <c r="L74" s="270"/>
      <c r="M74" s="271"/>
      <c r="N74" s="270"/>
      <c r="O74" s="266"/>
      <c r="P74" s="227"/>
      <c r="Q74" s="267"/>
      <c r="R74" s="268"/>
      <c r="S74" s="268"/>
      <c r="T74" s="268"/>
      <c r="U74" s="268"/>
      <c r="V74" s="268"/>
      <c r="W74" s="268"/>
      <c r="X74" s="268"/>
      <c r="Y74" s="268"/>
      <c r="Z74" s="267"/>
      <c r="AA74" s="267"/>
      <c r="AB74" s="269"/>
    </row>
    <row r="75" spans="1:28" s="353" customFormat="1" hidden="1" x14ac:dyDescent="0.2">
      <c r="A75" s="261">
        <v>17</v>
      </c>
      <c r="B75" s="262"/>
      <c r="C75" s="263"/>
      <c r="D75" s="270"/>
      <c r="E75" s="271"/>
      <c r="F75" s="272"/>
      <c r="G75" s="270"/>
      <c r="H75" s="270"/>
      <c r="I75" s="271"/>
      <c r="J75" s="270"/>
      <c r="K75" s="271"/>
      <c r="L75" s="270"/>
      <c r="M75" s="271"/>
      <c r="N75" s="270"/>
      <c r="O75" s="266"/>
      <c r="P75" s="227"/>
      <c r="Q75" s="267"/>
      <c r="R75" s="268"/>
      <c r="S75" s="268"/>
      <c r="T75" s="268"/>
      <c r="U75" s="268"/>
      <c r="V75" s="268"/>
      <c r="W75" s="268"/>
      <c r="X75" s="268"/>
      <c r="Y75" s="268"/>
      <c r="Z75" s="267"/>
      <c r="AA75" s="267"/>
      <c r="AB75" s="269"/>
    </row>
    <row r="76" spans="1:28" s="353" customFormat="1" hidden="1" x14ac:dyDescent="0.2">
      <c r="A76" s="261">
        <v>18</v>
      </c>
      <c r="B76" s="262"/>
      <c r="C76" s="263"/>
      <c r="D76" s="270"/>
      <c r="E76" s="271"/>
      <c r="F76" s="272"/>
      <c r="G76" s="270"/>
      <c r="H76" s="270"/>
      <c r="I76" s="271"/>
      <c r="J76" s="270"/>
      <c r="K76" s="271"/>
      <c r="L76" s="270"/>
      <c r="M76" s="271"/>
      <c r="N76" s="270"/>
      <c r="O76" s="266"/>
      <c r="P76" s="227"/>
      <c r="Q76" s="267"/>
      <c r="R76" s="268"/>
      <c r="S76" s="268"/>
      <c r="T76" s="268"/>
      <c r="U76" s="268"/>
      <c r="V76" s="268"/>
      <c r="W76" s="268"/>
      <c r="X76" s="268"/>
      <c r="Y76" s="268"/>
      <c r="Z76" s="267"/>
      <c r="AA76" s="267"/>
      <c r="AB76" s="269"/>
    </row>
    <row r="77" spans="1:28" s="353" customFormat="1" hidden="1" x14ac:dyDescent="0.2">
      <c r="A77" s="261">
        <v>19</v>
      </c>
      <c r="B77" s="262"/>
      <c r="C77" s="263"/>
      <c r="D77" s="270"/>
      <c r="E77" s="271"/>
      <c r="F77" s="272"/>
      <c r="G77" s="270"/>
      <c r="H77" s="270"/>
      <c r="I77" s="271"/>
      <c r="J77" s="270"/>
      <c r="K77" s="271"/>
      <c r="L77" s="270"/>
      <c r="M77" s="271"/>
      <c r="N77" s="270"/>
      <c r="O77" s="266"/>
      <c r="P77" s="227"/>
      <c r="Q77" s="267"/>
      <c r="R77" s="268"/>
      <c r="S77" s="268"/>
      <c r="T77" s="268"/>
      <c r="U77" s="268"/>
      <c r="V77" s="268"/>
      <c r="W77" s="268"/>
      <c r="X77" s="268"/>
      <c r="Y77" s="268"/>
      <c r="Z77" s="267"/>
      <c r="AA77" s="267"/>
      <c r="AB77" s="269"/>
    </row>
    <row r="78" spans="1:28" s="353" customFormat="1" hidden="1" x14ac:dyDescent="0.2">
      <c r="A78" s="261">
        <v>20</v>
      </c>
      <c r="B78" s="262"/>
      <c r="C78" s="263"/>
      <c r="D78" s="270"/>
      <c r="E78" s="271"/>
      <c r="F78" s="272"/>
      <c r="G78" s="270"/>
      <c r="H78" s="270"/>
      <c r="I78" s="271"/>
      <c r="J78" s="270"/>
      <c r="K78" s="271"/>
      <c r="L78" s="270"/>
      <c r="M78" s="271"/>
      <c r="N78" s="270"/>
      <c r="O78" s="266"/>
      <c r="P78" s="227"/>
      <c r="Q78" s="267"/>
      <c r="R78" s="268"/>
      <c r="S78" s="268"/>
      <c r="T78" s="268"/>
      <c r="U78" s="268"/>
      <c r="V78" s="268"/>
      <c r="W78" s="268"/>
      <c r="X78" s="268"/>
      <c r="Y78" s="268"/>
      <c r="Z78" s="267"/>
      <c r="AA78" s="267"/>
      <c r="AB78" s="269"/>
    </row>
    <row r="79" spans="1:28" s="353" customFormat="1" hidden="1" x14ac:dyDescent="0.2">
      <c r="A79" s="261">
        <v>21</v>
      </c>
      <c r="B79" s="262"/>
      <c r="C79" s="263"/>
      <c r="D79" s="270"/>
      <c r="E79" s="271"/>
      <c r="F79" s="272"/>
      <c r="G79" s="270"/>
      <c r="H79" s="270"/>
      <c r="I79" s="271"/>
      <c r="J79" s="270"/>
      <c r="K79" s="271"/>
      <c r="L79" s="270"/>
      <c r="M79" s="271"/>
      <c r="N79" s="270"/>
      <c r="O79" s="266"/>
      <c r="P79" s="227"/>
      <c r="Q79" s="267"/>
      <c r="R79" s="268"/>
      <c r="S79" s="268"/>
      <c r="T79" s="268"/>
      <c r="U79" s="268"/>
      <c r="V79" s="268"/>
      <c r="W79" s="268"/>
      <c r="X79" s="268"/>
      <c r="Y79" s="268"/>
      <c r="Z79" s="267"/>
      <c r="AA79" s="267"/>
      <c r="AB79" s="269"/>
    </row>
    <row r="80" spans="1:28" s="353" customFormat="1" hidden="1" x14ac:dyDescent="0.2">
      <c r="A80" s="261">
        <v>22</v>
      </c>
      <c r="B80" s="262"/>
      <c r="C80" s="263"/>
      <c r="D80" s="270"/>
      <c r="E80" s="271"/>
      <c r="F80" s="272"/>
      <c r="G80" s="270"/>
      <c r="H80" s="270"/>
      <c r="I80" s="271"/>
      <c r="J80" s="270"/>
      <c r="K80" s="271"/>
      <c r="L80" s="270"/>
      <c r="M80" s="271"/>
      <c r="N80" s="270"/>
      <c r="O80" s="266"/>
      <c r="P80" s="227"/>
      <c r="Q80" s="267"/>
      <c r="R80" s="268"/>
      <c r="S80" s="268"/>
      <c r="T80" s="268"/>
      <c r="U80" s="268"/>
      <c r="V80" s="268"/>
      <c r="W80" s="268"/>
      <c r="X80" s="268"/>
      <c r="Y80" s="268"/>
      <c r="Z80" s="267"/>
      <c r="AA80" s="267"/>
      <c r="AB80" s="269"/>
    </row>
    <row r="81" spans="1:28" s="353" customFormat="1" hidden="1" x14ac:dyDescent="0.2">
      <c r="A81" s="261">
        <v>23</v>
      </c>
      <c r="B81" s="262"/>
      <c r="C81" s="263"/>
      <c r="D81" s="270"/>
      <c r="E81" s="271"/>
      <c r="F81" s="272"/>
      <c r="G81" s="270"/>
      <c r="H81" s="270"/>
      <c r="I81" s="271"/>
      <c r="J81" s="270"/>
      <c r="K81" s="271"/>
      <c r="L81" s="270"/>
      <c r="M81" s="271"/>
      <c r="N81" s="270"/>
      <c r="O81" s="266"/>
      <c r="P81" s="227"/>
      <c r="Q81" s="267"/>
      <c r="R81" s="268"/>
      <c r="S81" s="268"/>
      <c r="T81" s="268"/>
      <c r="U81" s="268"/>
      <c r="V81" s="268"/>
      <c r="W81" s="268"/>
      <c r="X81" s="268"/>
      <c r="Y81" s="268"/>
      <c r="Z81" s="267"/>
      <c r="AA81" s="267"/>
      <c r="AB81" s="269"/>
    </row>
    <row r="82" spans="1:28" s="353" customFormat="1" hidden="1" x14ac:dyDescent="0.2">
      <c r="A82" s="261">
        <v>24</v>
      </c>
      <c r="B82" s="262"/>
      <c r="C82" s="263"/>
      <c r="D82" s="270"/>
      <c r="E82" s="271"/>
      <c r="F82" s="272"/>
      <c r="G82" s="270"/>
      <c r="H82" s="270"/>
      <c r="I82" s="271"/>
      <c r="J82" s="270"/>
      <c r="K82" s="271"/>
      <c r="L82" s="270"/>
      <c r="M82" s="271"/>
      <c r="N82" s="270"/>
      <c r="O82" s="266"/>
      <c r="P82" s="227"/>
      <c r="Q82" s="267"/>
      <c r="R82" s="268"/>
      <c r="S82" s="268"/>
      <c r="T82" s="268"/>
      <c r="U82" s="268"/>
      <c r="V82" s="268"/>
      <c r="W82" s="268"/>
      <c r="X82" s="268"/>
      <c r="Y82" s="268"/>
      <c r="Z82" s="267"/>
      <c r="AA82" s="267"/>
      <c r="AB82" s="269"/>
    </row>
    <row r="83" spans="1:28" s="353" customFormat="1" hidden="1" x14ac:dyDescent="0.2">
      <c r="A83" s="273">
        <v>25</v>
      </c>
      <c r="B83" s="262"/>
      <c r="C83" s="263"/>
      <c r="D83" s="270"/>
      <c r="E83" s="271"/>
      <c r="F83" s="272"/>
      <c r="G83" s="270"/>
      <c r="H83" s="270"/>
      <c r="I83" s="271"/>
      <c r="J83" s="270"/>
      <c r="K83" s="271"/>
      <c r="L83" s="270"/>
      <c r="M83" s="271"/>
      <c r="N83" s="270"/>
      <c r="O83" s="266"/>
      <c r="P83" s="227"/>
      <c r="Q83" s="267"/>
      <c r="R83" s="268"/>
      <c r="S83" s="268"/>
      <c r="T83" s="268"/>
      <c r="U83" s="268"/>
      <c r="V83" s="268"/>
      <c r="W83" s="268"/>
      <c r="X83" s="268"/>
      <c r="Y83" s="268"/>
      <c r="Z83" s="267"/>
      <c r="AA83" s="267"/>
      <c r="AB83" s="269"/>
    </row>
    <row r="84" spans="1:28" s="353" customFormat="1" hidden="1" x14ac:dyDescent="0.2">
      <c r="A84" s="273">
        <v>26</v>
      </c>
      <c r="B84" s="262"/>
      <c r="C84" s="263"/>
      <c r="D84" s="270"/>
      <c r="E84" s="271"/>
      <c r="F84" s="272"/>
      <c r="G84" s="270"/>
      <c r="H84" s="270"/>
      <c r="I84" s="271"/>
      <c r="J84" s="270"/>
      <c r="K84" s="271"/>
      <c r="L84" s="270"/>
      <c r="M84" s="271"/>
      <c r="N84" s="270"/>
      <c r="O84" s="266"/>
      <c r="P84" s="227"/>
      <c r="Q84" s="267"/>
      <c r="R84" s="268"/>
      <c r="S84" s="268"/>
      <c r="T84" s="268"/>
      <c r="U84" s="268"/>
      <c r="V84" s="268"/>
      <c r="W84" s="268"/>
      <c r="X84" s="268"/>
      <c r="Y84" s="268"/>
      <c r="Z84" s="267"/>
      <c r="AA84" s="267"/>
      <c r="AB84" s="269"/>
    </row>
    <row r="85" spans="1:28" s="353" customFormat="1" hidden="1" x14ac:dyDescent="0.2">
      <c r="A85" s="273">
        <v>27</v>
      </c>
      <c r="B85" s="262"/>
      <c r="C85" s="263"/>
      <c r="D85" s="270"/>
      <c r="E85" s="271"/>
      <c r="F85" s="272"/>
      <c r="G85" s="270"/>
      <c r="H85" s="270"/>
      <c r="I85" s="271"/>
      <c r="J85" s="270"/>
      <c r="K85" s="271"/>
      <c r="L85" s="270"/>
      <c r="M85" s="271"/>
      <c r="N85" s="270"/>
      <c r="O85" s="266"/>
      <c r="P85" s="227"/>
      <c r="Q85" s="267"/>
      <c r="R85" s="268"/>
      <c r="S85" s="268"/>
      <c r="T85" s="268"/>
      <c r="U85" s="268"/>
      <c r="V85" s="268"/>
      <c r="W85" s="268"/>
      <c r="X85" s="268"/>
      <c r="Y85" s="268"/>
      <c r="Z85" s="267"/>
      <c r="AA85" s="267"/>
      <c r="AB85" s="269"/>
    </row>
    <row r="86" spans="1:28" s="353" customFormat="1" hidden="1" x14ac:dyDescent="0.2">
      <c r="A86" s="273">
        <v>28</v>
      </c>
      <c r="B86" s="262"/>
      <c r="C86" s="263"/>
      <c r="D86" s="270"/>
      <c r="E86" s="271"/>
      <c r="F86" s="272"/>
      <c r="G86" s="270"/>
      <c r="H86" s="270"/>
      <c r="I86" s="271"/>
      <c r="J86" s="270"/>
      <c r="K86" s="271"/>
      <c r="L86" s="270"/>
      <c r="M86" s="271"/>
      <c r="N86" s="270"/>
      <c r="O86" s="266"/>
      <c r="P86" s="227"/>
      <c r="Q86" s="267"/>
      <c r="R86" s="268"/>
      <c r="S86" s="268"/>
      <c r="T86" s="268"/>
      <c r="U86" s="268"/>
      <c r="V86" s="268"/>
      <c r="W86" s="268"/>
      <c r="X86" s="268"/>
      <c r="Y86" s="268"/>
      <c r="Z86" s="267"/>
      <c r="AA86" s="267"/>
      <c r="AB86" s="269"/>
    </row>
    <row r="87" spans="1:28" s="353" customFormat="1" hidden="1" x14ac:dyDescent="0.2">
      <c r="A87" s="273">
        <v>29</v>
      </c>
      <c r="B87" s="262"/>
      <c r="C87" s="263"/>
      <c r="D87" s="270"/>
      <c r="E87" s="271"/>
      <c r="F87" s="272"/>
      <c r="G87" s="270"/>
      <c r="H87" s="270"/>
      <c r="I87" s="271"/>
      <c r="J87" s="270"/>
      <c r="K87" s="271"/>
      <c r="L87" s="270"/>
      <c r="M87" s="271"/>
      <c r="N87" s="270"/>
      <c r="O87" s="266"/>
      <c r="P87" s="227"/>
      <c r="Q87" s="267"/>
      <c r="R87" s="268"/>
      <c r="S87" s="268"/>
      <c r="T87" s="268"/>
      <c r="U87" s="268"/>
      <c r="V87" s="268"/>
      <c r="W87" s="268"/>
      <c r="X87" s="268"/>
      <c r="Y87" s="268"/>
      <c r="Z87" s="267"/>
      <c r="AA87" s="267"/>
      <c r="AB87" s="269"/>
    </row>
    <row r="88" spans="1:28" s="353" customFormat="1" hidden="1" x14ac:dyDescent="0.2">
      <c r="A88" s="273">
        <v>30</v>
      </c>
      <c r="B88" s="274"/>
      <c r="C88" s="272"/>
      <c r="D88" s="270"/>
      <c r="E88" s="271"/>
      <c r="F88" s="272"/>
      <c r="G88" s="270"/>
      <c r="H88" s="270"/>
      <c r="I88" s="271"/>
      <c r="J88" s="270"/>
      <c r="K88" s="271"/>
      <c r="L88" s="270"/>
      <c r="M88" s="271"/>
      <c r="N88" s="270"/>
      <c r="O88" s="266"/>
      <c r="P88" s="227"/>
      <c r="Q88" s="267"/>
      <c r="R88" s="268"/>
      <c r="S88" s="268"/>
      <c r="T88" s="268"/>
      <c r="U88" s="268"/>
      <c r="V88" s="268"/>
      <c r="W88" s="268"/>
      <c r="X88" s="268"/>
      <c r="Y88" s="268"/>
      <c r="Z88" s="267"/>
      <c r="AA88" s="267"/>
      <c r="AB88" s="269"/>
    </row>
    <row r="89" spans="1:28" s="353" customFormat="1" hidden="1" x14ac:dyDescent="0.2">
      <c r="A89" s="273">
        <v>31</v>
      </c>
      <c r="B89" s="274"/>
      <c r="C89" s="272"/>
      <c r="D89" s="270"/>
      <c r="E89" s="271"/>
      <c r="F89" s="272"/>
      <c r="G89" s="270"/>
      <c r="H89" s="270"/>
      <c r="I89" s="271"/>
      <c r="J89" s="270"/>
      <c r="K89" s="271"/>
      <c r="L89" s="270"/>
      <c r="M89" s="271"/>
      <c r="N89" s="270"/>
      <c r="O89" s="266"/>
      <c r="P89" s="227"/>
      <c r="Q89" s="267"/>
      <c r="R89" s="268"/>
      <c r="S89" s="268"/>
      <c r="T89" s="268"/>
      <c r="U89" s="268"/>
      <c r="V89" s="268"/>
      <c r="W89" s="268"/>
      <c r="X89" s="268"/>
      <c r="Y89" s="268"/>
      <c r="Z89" s="267"/>
      <c r="AA89" s="267"/>
      <c r="AB89" s="269"/>
    </row>
    <row r="90" spans="1:28" s="353" customFormat="1" hidden="1" x14ac:dyDescent="0.2">
      <c r="A90" s="273">
        <v>32</v>
      </c>
      <c r="B90" s="274"/>
      <c r="C90" s="272"/>
      <c r="D90" s="270"/>
      <c r="E90" s="271"/>
      <c r="F90" s="272"/>
      <c r="G90" s="270"/>
      <c r="H90" s="270"/>
      <c r="I90" s="271"/>
      <c r="J90" s="270"/>
      <c r="K90" s="271"/>
      <c r="L90" s="270"/>
      <c r="M90" s="271"/>
      <c r="N90" s="270"/>
      <c r="O90" s="266"/>
      <c r="P90" s="227"/>
      <c r="Q90" s="267"/>
      <c r="R90" s="268"/>
      <c r="S90" s="268"/>
      <c r="T90" s="268"/>
      <c r="U90" s="268"/>
      <c r="V90" s="268"/>
      <c r="W90" s="268"/>
      <c r="X90" s="268"/>
      <c r="Y90" s="268"/>
      <c r="Z90" s="267"/>
      <c r="AA90" s="267"/>
      <c r="AB90" s="269"/>
    </row>
    <row r="91" spans="1:28" s="353" customFormat="1" hidden="1" x14ac:dyDescent="0.2">
      <c r="A91" s="273">
        <v>33</v>
      </c>
      <c r="B91" s="262"/>
      <c r="C91" s="263"/>
      <c r="D91" s="270"/>
      <c r="E91" s="271"/>
      <c r="F91" s="272"/>
      <c r="G91" s="270"/>
      <c r="H91" s="270"/>
      <c r="I91" s="271"/>
      <c r="J91" s="270"/>
      <c r="K91" s="271"/>
      <c r="L91" s="270"/>
      <c r="M91" s="271"/>
      <c r="N91" s="270"/>
      <c r="O91" s="266"/>
      <c r="P91" s="227"/>
      <c r="Q91" s="267"/>
      <c r="R91" s="268"/>
      <c r="S91" s="268"/>
      <c r="T91" s="268"/>
      <c r="U91" s="268"/>
      <c r="V91" s="268"/>
      <c r="W91" s="268"/>
      <c r="X91" s="268"/>
      <c r="Y91" s="268"/>
      <c r="Z91" s="267"/>
      <c r="AA91" s="267"/>
      <c r="AB91" s="269"/>
    </row>
    <row r="92" spans="1:28" s="353" customFormat="1" hidden="1" x14ac:dyDescent="0.2">
      <c r="A92" s="273">
        <v>34</v>
      </c>
      <c r="B92" s="262"/>
      <c r="C92" s="263"/>
      <c r="D92" s="270"/>
      <c r="E92" s="271"/>
      <c r="F92" s="272"/>
      <c r="G92" s="270"/>
      <c r="H92" s="270"/>
      <c r="I92" s="271"/>
      <c r="J92" s="270"/>
      <c r="K92" s="271"/>
      <c r="L92" s="270"/>
      <c r="M92" s="271"/>
      <c r="N92" s="270"/>
      <c r="O92" s="266"/>
      <c r="P92" s="227"/>
      <c r="Q92" s="267"/>
      <c r="R92" s="268"/>
      <c r="S92" s="268"/>
      <c r="T92" s="268"/>
      <c r="U92" s="268"/>
      <c r="V92" s="268"/>
      <c r="W92" s="268"/>
      <c r="X92" s="268"/>
      <c r="Y92" s="268"/>
      <c r="Z92" s="267"/>
      <c r="AA92" s="267"/>
      <c r="AB92" s="269"/>
    </row>
    <row r="93" spans="1:28" s="353" customFormat="1" hidden="1" x14ac:dyDescent="0.2">
      <c r="A93" s="273">
        <v>35</v>
      </c>
      <c r="B93" s="262"/>
      <c r="C93" s="263"/>
      <c r="D93" s="270"/>
      <c r="E93" s="271"/>
      <c r="F93" s="272"/>
      <c r="G93" s="270"/>
      <c r="H93" s="270"/>
      <c r="I93" s="271"/>
      <c r="J93" s="270"/>
      <c r="K93" s="271"/>
      <c r="L93" s="270"/>
      <c r="M93" s="271"/>
      <c r="N93" s="270"/>
      <c r="O93" s="266"/>
      <c r="P93" s="227"/>
      <c r="Q93" s="267"/>
      <c r="R93" s="268"/>
      <c r="S93" s="268"/>
      <c r="T93" s="268"/>
      <c r="U93" s="268"/>
      <c r="V93" s="268"/>
      <c r="W93" s="268"/>
      <c r="X93" s="268"/>
      <c r="Y93" s="268"/>
      <c r="Z93" s="267"/>
      <c r="AA93" s="267"/>
      <c r="AB93" s="269"/>
    </row>
    <row r="94" spans="1:28" s="353" customFormat="1" hidden="1" x14ac:dyDescent="0.2">
      <c r="A94" s="273">
        <v>36</v>
      </c>
      <c r="B94" s="262"/>
      <c r="C94" s="263"/>
      <c r="D94" s="270"/>
      <c r="E94" s="271"/>
      <c r="F94" s="272"/>
      <c r="G94" s="270"/>
      <c r="H94" s="270"/>
      <c r="I94" s="271"/>
      <c r="J94" s="270"/>
      <c r="K94" s="271"/>
      <c r="L94" s="270"/>
      <c r="M94" s="271"/>
      <c r="N94" s="270"/>
      <c r="O94" s="266"/>
      <c r="P94" s="227"/>
      <c r="Q94" s="267"/>
      <c r="R94" s="268"/>
      <c r="S94" s="268"/>
      <c r="T94" s="268"/>
      <c r="U94" s="268"/>
      <c r="V94" s="268"/>
      <c r="W94" s="268"/>
      <c r="X94" s="268"/>
      <c r="Y94" s="268"/>
      <c r="Z94" s="267"/>
      <c r="AA94" s="267"/>
      <c r="AB94" s="269"/>
    </row>
    <row r="95" spans="1:28" s="353" customFormat="1" hidden="1" x14ac:dyDescent="0.2">
      <c r="A95" s="273">
        <v>37</v>
      </c>
      <c r="B95" s="262"/>
      <c r="C95" s="263"/>
      <c r="D95" s="270"/>
      <c r="E95" s="271"/>
      <c r="F95" s="272"/>
      <c r="G95" s="270"/>
      <c r="H95" s="270"/>
      <c r="I95" s="271"/>
      <c r="J95" s="270"/>
      <c r="K95" s="271"/>
      <c r="L95" s="270"/>
      <c r="M95" s="271"/>
      <c r="N95" s="270"/>
      <c r="O95" s="266"/>
      <c r="P95" s="227"/>
      <c r="Q95" s="267"/>
      <c r="R95" s="268"/>
      <c r="S95" s="268"/>
      <c r="T95" s="268"/>
      <c r="U95" s="268"/>
      <c r="V95" s="268"/>
      <c r="W95" s="268"/>
      <c r="X95" s="268"/>
      <c r="Y95" s="268"/>
      <c r="Z95" s="267"/>
      <c r="AA95" s="267"/>
      <c r="AB95" s="269"/>
    </row>
    <row r="96" spans="1:28" s="353" customFormat="1" hidden="1" x14ac:dyDescent="0.2">
      <c r="A96" s="273">
        <v>38</v>
      </c>
      <c r="B96" s="262"/>
      <c r="C96" s="263"/>
      <c r="D96" s="270"/>
      <c r="E96" s="271"/>
      <c r="F96" s="272"/>
      <c r="G96" s="270"/>
      <c r="H96" s="270"/>
      <c r="I96" s="271"/>
      <c r="J96" s="270"/>
      <c r="K96" s="271"/>
      <c r="L96" s="270"/>
      <c r="M96" s="271"/>
      <c r="N96" s="270"/>
      <c r="O96" s="266"/>
      <c r="P96" s="227"/>
      <c r="Q96" s="267"/>
      <c r="R96" s="268"/>
      <c r="S96" s="268"/>
      <c r="T96" s="268"/>
      <c r="U96" s="268"/>
      <c r="V96" s="268"/>
      <c r="W96" s="268"/>
      <c r="X96" s="268"/>
      <c r="Y96" s="268"/>
      <c r="Z96" s="267"/>
      <c r="AA96" s="267"/>
      <c r="AB96" s="269"/>
    </row>
    <row r="97" spans="1:28" s="353" customFormat="1" hidden="1" x14ac:dyDescent="0.2">
      <c r="A97" s="273">
        <v>39</v>
      </c>
      <c r="B97" s="262"/>
      <c r="C97" s="263"/>
      <c r="D97" s="270"/>
      <c r="E97" s="271"/>
      <c r="F97" s="272"/>
      <c r="G97" s="270"/>
      <c r="H97" s="270"/>
      <c r="I97" s="271"/>
      <c r="J97" s="270"/>
      <c r="K97" s="271"/>
      <c r="L97" s="270"/>
      <c r="M97" s="271"/>
      <c r="N97" s="270"/>
      <c r="O97" s="266"/>
      <c r="P97" s="227"/>
      <c r="Q97" s="267"/>
      <c r="R97" s="268"/>
      <c r="S97" s="268"/>
      <c r="T97" s="268"/>
      <c r="U97" s="268"/>
      <c r="V97" s="268"/>
      <c r="W97" s="268"/>
      <c r="X97" s="268"/>
      <c r="Y97" s="268"/>
      <c r="Z97" s="267"/>
      <c r="AA97" s="267"/>
      <c r="AB97" s="269"/>
    </row>
    <row r="98" spans="1:28" s="353" customFormat="1" hidden="1" x14ac:dyDescent="0.2">
      <c r="A98" s="275">
        <v>40</v>
      </c>
      <c r="B98" s="276"/>
      <c r="C98" s="277"/>
      <c r="D98" s="278"/>
      <c r="E98" s="279"/>
      <c r="F98" s="277"/>
      <c r="G98" s="278"/>
      <c r="H98" s="278"/>
      <c r="I98" s="279"/>
      <c r="J98" s="278"/>
      <c r="K98" s="279"/>
      <c r="L98" s="278"/>
      <c r="M98" s="279"/>
      <c r="N98" s="278"/>
      <c r="O98" s="266"/>
      <c r="P98" s="227"/>
      <c r="Q98" s="267"/>
      <c r="R98" s="268"/>
      <c r="S98" s="268"/>
      <c r="T98" s="268"/>
      <c r="U98" s="268"/>
      <c r="V98" s="268"/>
      <c r="W98" s="268"/>
      <c r="X98" s="268"/>
      <c r="Y98" s="268"/>
      <c r="Z98" s="267"/>
      <c r="AA98" s="267"/>
      <c r="AB98" s="269"/>
    </row>
    <row r="99" spans="1:28" ht="18.75" customHeight="1" x14ac:dyDescent="0.2">
      <c r="A99" s="850"/>
      <c r="B99" s="851"/>
      <c r="C99" s="851"/>
      <c r="D99" s="851"/>
      <c r="E99" s="851"/>
      <c r="F99" s="851"/>
      <c r="G99" s="851"/>
      <c r="H99" s="851"/>
      <c r="I99" s="851"/>
      <c r="J99" s="851"/>
      <c r="K99" s="851"/>
      <c r="L99" s="851"/>
      <c r="M99" s="851"/>
      <c r="N99" s="852"/>
      <c r="O99" s="87"/>
      <c r="P99" s="88"/>
      <c r="R99" s="252"/>
      <c r="S99" s="252"/>
      <c r="T99" s="252"/>
      <c r="U99" s="252"/>
      <c r="V99" s="252"/>
      <c r="W99" s="252"/>
      <c r="X99" s="252"/>
      <c r="Y99" s="252"/>
      <c r="AB99" s="213"/>
    </row>
    <row r="100" spans="1:28" ht="18.75" hidden="1" customHeight="1" x14ac:dyDescent="0.2">
      <c r="A100" s="839" t="s">
        <v>60</v>
      </c>
      <c r="B100" s="840"/>
      <c r="C100" s="840"/>
      <c r="D100" s="840"/>
      <c r="E100" s="840"/>
      <c r="F100" s="840"/>
      <c r="G100" s="840"/>
      <c r="H100" s="840"/>
      <c r="I100" s="840"/>
      <c r="J100" s="840"/>
      <c r="K100" s="840"/>
      <c r="L100" s="840"/>
      <c r="M100" s="840"/>
      <c r="N100" s="841"/>
      <c r="O100" s="87"/>
      <c r="P100" s="88"/>
      <c r="R100" s="252"/>
      <c r="S100" s="252"/>
      <c r="T100" s="252"/>
      <c r="U100" s="252"/>
      <c r="V100" s="252"/>
      <c r="W100" s="252"/>
      <c r="X100" s="252"/>
      <c r="Y100" s="252"/>
      <c r="AB100" s="213"/>
    </row>
    <row r="101" spans="1:28" ht="42.75" hidden="1" customHeight="1" x14ac:dyDescent="0.2">
      <c r="A101" s="782" t="s">
        <v>552</v>
      </c>
      <c r="B101" s="783"/>
      <c r="C101" s="783"/>
      <c r="D101" s="783"/>
      <c r="E101" s="783"/>
      <c r="F101" s="783"/>
      <c r="G101" s="783"/>
      <c r="H101" s="783"/>
      <c r="I101" s="783"/>
      <c r="J101" s="783"/>
      <c r="K101" s="783"/>
      <c r="L101" s="783"/>
      <c r="M101" s="783"/>
      <c r="N101" s="784"/>
      <c r="O101" s="87"/>
      <c r="P101" s="88"/>
      <c r="R101" s="252"/>
      <c r="S101" s="252"/>
      <c r="T101" s="252"/>
      <c r="U101" s="252"/>
      <c r="V101" s="252"/>
      <c r="W101" s="252"/>
      <c r="X101" s="252"/>
      <c r="Y101" s="252"/>
      <c r="AB101" s="213"/>
    </row>
    <row r="102" spans="1:28" ht="18.75" hidden="1" customHeight="1" x14ac:dyDescent="0.2">
      <c r="A102" s="280"/>
      <c r="B102" s="249"/>
      <c r="C102" s="249"/>
      <c r="D102" s="249"/>
      <c r="E102" s="249"/>
      <c r="F102" s="249"/>
      <c r="G102" s="249"/>
      <c r="H102" s="249"/>
      <c r="I102" s="249"/>
      <c r="J102" s="249"/>
      <c r="K102" s="249"/>
      <c r="L102" s="249"/>
      <c r="M102" s="250"/>
      <c r="N102" s="281"/>
      <c r="O102" s="87"/>
      <c r="P102" s="88"/>
      <c r="R102" s="252"/>
      <c r="S102" s="252"/>
      <c r="T102" s="252"/>
      <c r="U102" s="252"/>
      <c r="V102" s="252"/>
      <c r="W102" s="252"/>
      <c r="X102" s="252"/>
      <c r="Y102" s="252"/>
      <c r="AB102" s="213"/>
    </row>
    <row r="103" spans="1:28" s="342" customFormat="1" ht="30" customHeight="1" x14ac:dyDescent="0.2">
      <c r="A103" s="842" t="s">
        <v>455</v>
      </c>
      <c r="B103" s="843"/>
      <c r="C103" s="843"/>
      <c r="D103" s="843"/>
      <c r="E103" s="843"/>
      <c r="F103" s="843"/>
      <c r="G103" s="843"/>
      <c r="H103" s="843"/>
      <c r="I103" s="843"/>
      <c r="J103" s="843"/>
      <c r="K103" s="843"/>
      <c r="L103" s="843"/>
      <c r="M103" s="843"/>
      <c r="N103" s="844"/>
      <c r="O103" s="413"/>
      <c r="P103" s="414"/>
      <c r="Q103" s="4"/>
      <c r="R103" s="845" t="s">
        <v>132</v>
      </c>
      <c r="S103" s="846"/>
      <c r="T103" s="846"/>
      <c r="U103" s="846"/>
      <c r="V103" s="846"/>
      <c r="W103" s="846"/>
      <c r="X103" s="846"/>
      <c r="Y103" s="847"/>
      <c r="Z103" s="4"/>
      <c r="AA103" s="4"/>
      <c r="AB103" s="214"/>
    </row>
    <row r="104" spans="1:28" ht="30" customHeight="1" x14ac:dyDescent="0.2">
      <c r="A104" s="848" t="s">
        <v>149</v>
      </c>
      <c r="B104" s="848" t="s">
        <v>192</v>
      </c>
      <c r="C104" s="626" t="s">
        <v>135</v>
      </c>
      <c r="D104" s="626" t="s">
        <v>136</v>
      </c>
      <c r="E104" s="626" t="s">
        <v>137</v>
      </c>
      <c r="F104" s="626" t="s">
        <v>193</v>
      </c>
      <c r="G104" s="626" t="s">
        <v>194</v>
      </c>
      <c r="H104" s="626" t="s">
        <v>140</v>
      </c>
      <c r="I104" s="831" t="s">
        <v>141</v>
      </c>
      <c r="J104" s="832"/>
      <c r="K104" s="832"/>
      <c r="L104" s="832"/>
      <c r="M104" s="833"/>
      <c r="N104" s="834" t="s">
        <v>142</v>
      </c>
      <c r="O104" s="87"/>
      <c r="P104" s="88"/>
      <c r="R104" s="836" t="s">
        <v>143</v>
      </c>
      <c r="S104" s="838" t="s">
        <v>144</v>
      </c>
      <c r="T104" s="828" t="s">
        <v>145</v>
      </c>
      <c r="U104" s="828" t="s">
        <v>146</v>
      </c>
      <c r="V104" s="838" t="s">
        <v>553</v>
      </c>
      <c r="W104" s="838" t="s">
        <v>147</v>
      </c>
      <c r="X104" s="838" t="s">
        <v>148</v>
      </c>
      <c r="Y104" s="838" t="s">
        <v>132</v>
      </c>
      <c r="AA104" s="830" t="s">
        <v>149</v>
      </c>
      <c r="AB104" s="213"/>
    </row>
    <row r="105" spans="1:28" ht="30" customHeight="1" x14ac:dyDescent="0.2">
      <c r="A105" s="849"/>
      <c r="B105" s="849"/>
      <c r="C105" s="628"/>
      <c r="D105" s="628"/>
      <c r="E105" s="628"/>
      <c r="F105" s="628"/>
      <c r="G105" s="628"/>
      <c r="H105" s="628"/>
      <c r="I105" s="164" t="s">
        <v>25</v>
      </c>
      <c r="J105" s="69" t="s">
        <v>26</v>
      </c>
      <c r="K105" s="69" t="s">
        <v>27</v>
      </c>
      <c r="L105" s="69" t="s">
        <v>28</v>
      </c>
      <c r="M105" s="69" t="s">
        <v>30</v>
      </c>
      <c r="N105" s="835"/>
      <c r="O105" s="87"/>
      <c r="P105" s="88"/>
      <c r="R105" s="837"/>
      <c r="S105" s="829"/>
      <c r="T105" s="829"/>
      <c r="U105" s="829"/>
      <c r="V105" s="829"/>
      <c r="W105" s="829"/>
      <c r="X105" s="829"/>
      <c r="Y105" s="829"/>
      <c r="AA105" s="830"/>
      <c r="AB105" s="213"/>
    </row>
    <row r="106" spans="1:28" ht="38.25" x14ac:dyDescent="0.2">
      <c r="A106" s="289" t="str">
        <f t="shared" ref="A106:A145" si="9">IF(R106="YES",AA106,"")</f>
        <v>T16b_01</v>
      </c>
      <c r="B106" s="282" t="s">
        <v>580</v>
      </c>
      <c r="C106" s="228" t="s">
        <v>286</v>
      </c>
      <c r="D106" s="236" t="s">
        <v>346</v>
      </c>
      <c r="E106" s="229" t="s">
        <v>591</v>
      </c>
      <c r="F106" s="230" t="s">
        <v>94</v>
      </c>
      <c r="G106" s="232" t="s">
        <v>356</v>
      </c>
      <c r="H106" s="232">
        <v>2</v>
      </c>
      <c r="I106" s="232">
        <v>5</v>
      </c>
      <c r="J106" s="232">
        <v>6</v>
      </c>
      <c r="K106" s="232">
        <v>7</v>
      </c>
      <c r="L106" s="232">
        <v>7</v>
      </c>
      <c r="M106" s="232" t="s">
        <v>582</v>
      </c>
      <c r="N106" s="233" t="s">
        <v>592</v>
      </c>
      <c r="O106" s="87" t="s">
        <v>432</v>
      </c>
      <c r="P106" s="88">
        <v>1</v>
      </c>
      <c r="R106" s="234" t="str">
        <f t="shared" ref="R106:R145" si="10">IF((COUNTBLANK(B106:K106)+COUNTBLANK(N106))=11,"NO","YES")</f>
        <v>YES</v>
      </c>
      <c r="S106" s="234" t="str">
        <f t="shared" ref="S106:S145" si="11">IF(COUNTBLANK($D106)=1,"",IF(ISERROR(VLOOKUP($D106,MILE_target_type_general,1,FALSE)),"NO","YES"))</f>
        <v>YES</v>
      </c>
      <c r="T106" s="234" t="str">
        <f>IF(R106="NO","",IF(AND((COUNTBLANK(A106:D106)+COUNTBLANK(F106:H106))=0,COUNTBLANK(I106:J106)=0),"YES","NO"))</f>
        <v>YES</v>
      </c>
      <c r="U106" s="234" t="str">
        <f t="shared" ref="U106:U145" si="12">IF(CONCATENATE(B106,D106, E106, F106,G106,H106,I106,J106,K106,L106,N106)=CONCATENATE(B149,D149,E149,F149,G149,H149,I149,J149,K149,L149,N149),"NO","YES")</f>
        <v>NO</v>
      </c>
      <c r="V106" s="234" t="str">
        <f>IF(U106="NO","",IF(AND(U106="YES",COUNTBLANK(I106:M106)&lt;&gt;0),"FAIL","PASSED"))</f>
        <v/>
      </c>
      <c r="W106" s="234" t="str">
        <f t="shared" ref="W106:W145" si="13">IF(R106="NO","",IF(COUNTBLANK(A106)=1,"NO","YES"))</f>
        <v>YES</v>
      </c>
      <c r="X106" s="234" t="str">
        <f t="shared" ref="X106:X145" si="14">IF(R106="NO","",IF((COUNTIF($A$16:$A$55,$A106) + COUNTIF($A$106:$A$145,$A106))&gt;=2,"NO","YES"))</f>
        <v>YES</v>
      </c>
      <c r="Y106" s="234" t="str">
        <f t="shared" ref="Y106:Y145" si="15">IF(OR(S106="NO",T106="NO"),"FLAG","")</f>
        <v/>
      </c>
      <c r="AA106" s="235" t="s">
        <v>195</v>
      </c>
      <c r="AB106" s="213"/>
    </row>
    <row r="107" spans="1:28" x14ac:dyDescent="0.2">
      <c r="A107" s="289" t="str">
        <f t="shared" si="9"/>
        <v/>
      </c>
      <c r="B107" s="282"/>
      <c r="C107" s="228"/>
      <c r="D107" s="236"/>
      <c r="E107" s="236"/>
      <c r="F107" s="237"/>
      <c r="G107" s="239"/>
      <c r="H107" s="239"/>
      <c r="I107" s="239"/>
      <c r="J107" s="239"/>
      <c r="K107" s="239"/>
      <c r="L107" s="239"/>
      <c r="M107" s="239"/>
      <c r="N107" s="240"/>
      <c r="O107" s="87" t="s">
        <v>432</v>
      </c>
      <c r="P107" s="88">
        <v>2</v>
      </c>
      <c r="R107" s="234" t="str">
        <f t="shared" si="10"/>
        <v>NO</v>
      </c>
      <c r="S107" s="234" t="str">
        <f t="shared" si="11"/>
        <v/>
      </c>
      <c r="T107" s="234" t="str">
        <f t="shared" ref="T107:T145" si="16">IF(R107="NO","",IF(AND((COUNTBLANK(A107:D107)+COUNTBLANK(F107:H107))=0,COUNTBLANK(I107:J107)=0),"YES","NO"))</f>
        <v/>
      </c>
      <c r="U107" s="234" t="str">
        <f t="shared" si="12"/>
        <v>NO</v>
      </c>
      <c r="V107" s="234" t="str">
        <f t="shared" ref="V107:V145" si="17">IF(U107="NO","",IF(AND(U107="YES",COUNTBLANK(I107:M107)&lt;&gt;0),"FAIL","PASSED"))</f>
        <v/>
      </c>
      <c r="W107" s="234" t="str">
        <f t="shared" si="13"/>
        <v/>
      </c>
      <c r="X107" s="234" t="str">
        <f t="shared" si="14"/>
        <v/>
      </c>
      <c r="Y107" s="234" t="str">
        <f t="shared" si="15"/>
        <v/>
      </c>
      <c r="AA107" s="235" t="s">
        <v>196</v>
      </c>
      <c r="AB107" s="213"/>
    </row>
    <row r="108" spans="1:28" x14ac:dyDescent="0.2">
      <c r="A108" s="289" t="str">
        <f t="shared" si="9"/>
        <v/>
      </c>
      <c r="B108" s="282"/>
      <c r="C108" s="228"/>
      <c r="D108" s="236"/>
      <c r="E108" s="236"/>
      <c r="F108" s="237"/>
      <c r="G108" s="239"/>
      <c r="H108" s="239"/>
      <c r="I108" s="239"/>
      <c r="J108" s="239"/>
      <c r="K108" s="239"/>
      <c r="L108" s="239"/>
      <c r="M108" s="239"/>
      <c r="N108" s="240"/>
      <c r="O108" s="87" t="s">
        <v>432</v>
      </c>
      <c r="P108" s="88">
        <v>3</v>
      </c>
      <c r="R108" s="234" t="str">
        <f t="shared" si="10"/>
        <v>NO</v>
      </c>
      <c r="S108" s="234" t="str">
        <f t="shared" si="11"/>
        <v/>
      </c>
      <c r="T108" s="234" t="str">
        <f t="shared" si="16"/>
        <v/>
      </c>
      <c r="U108" s="234" t="str">
        <f t="shared" si="12"/>
        <v>NO</v>
      </c>
      <c r="V108" s="234" t="str">
        <f t="shared" si="17"/>
        <v/>
      </c>
      <c r="W108" s="234" t="str">
        <f t="shared" si="13"/>
        <v/>
      </c>
      <c r="X108" s="234" t="str">
        <f t="shared" si="14"/>
        <v/>
      </c>
      <c r="Y108" s="234" t="str">
        <f t="shared" si="15"/>
        <v/>
      </c>
      <c r="AA108" s="235" t="s">
        <v>197</v>
      </c>
      <c r="AB108" s="213"/>
    </row>
    <row r="109" spans="1:28" x14ac:dyDescent="0.2">
      <c r="A109" s="289" t="str">
        <f t="shared" si="9"/>
        <v/>
      </c>
      <c r="B109" s="282"/>
      <c r="C109" s="228"/>
      <c r="D109" s="236"/>
      <c r="E109" s="236"/>
      <c r="F109" s="237"/>
      <c r="G109" s="239"/>
      <c r="H109" s="239"/>
      <c r="I109" s="239"/>
      <c r="J109" s="239"/>
      <c r="K109" s="239"/>
      <c r="L109" s="239"/>
      <c r="M109" s="239"/>
      <c r="N109" s="240"/>
      <c r="O109" s="87" t="s">
        <v>432</v>
      </c>
      <c r="P109" s="88">
        <v>4</v>
      </c>
      <c r="R109" s="234" t="str">
        <f t="shared" si="10"/>
        <v>NO</v>
      </c>
      <c r="S109" s="234" t="str">
        <f t="shared" si="11"/>
        <v/>
      </c>
      <c r="T109" s="234" t="str">
        <f t="shared" si="16"/>
        <v/>
      </c>
      <c r="U109" s="234" t="str">
        <f t="shared" si="12"/>
        <v>NO</v>
      </c>
      <c r="V109" s="234" t="str">
        <f t="shared" si="17"/>
        <v/>
      </c>
      <c r="W109" s="234" t="str">
        <f t="shared" si="13"/>
        <v/>
      </c>
      <c r="X109" s="234" t="str">
        <f t="shared" si="14"/>
        <v/>
      </c>
      <c r="Y109" s="234" t="str">
        <f t="shared" si="15"/>
        <v/>
      </c>
      <c r="AA109" s="235" t="s">
        <v>198</v>
      </c>
      <c r="AB109" s="213"/>
    </row>
    <row r="110" spans="1:28" x14ac:dyDescent="0.2">
      <c r="A110" s="289" t="str">
        <f t="shared" si="9"/>
        <v/>
      </c>
      <c r="B110" s="282"/>
      <c r="C110" s="228"/>
      <c r="D110" s="236"/>
      <c r="E110" s="236"/>
      <c r="F110" s="237"/>
      <c r="G110" s="239"/>
      <c r="H110" s="239"/>
      <c r="I110" s="239"/>
      <c r="J110" s="239"/>
      <c r="K110" s="239"/>
      <c r="L110" s="239"/>
      <c r="M110" s="239"/>
      <c r="N110" s="240"/>
      <c r="O110" s="87" t="s">
        <v>432</v>
      </c>
      <c r="P110" s="88">
        <v>5</v>
      </c>
      <c r="R110" s="234" t="str">
        <f t="shared" si="10"/>
        <v>NO</v>
      </c>
      <c r="S110" s="234" t="str">
        <f t="shared" si="11"/>
        <v/>
      </c>
      <c r="T110" s="234" t="str">
        <f t="shared" si="16"/>
        <v/>
      </c>
      <c r="U110" s="234" t="str">
        <f t="shared" si="12"/>
        <v>NO</v>
      </c>
      <c r="V110" s="234" t="str">
        <f t="shared" si="17"/>
        <v/>
      </c>
      <c r="W110" s="234" t="str">
        <f t="shared" si="13"/>
        <v/>
      </c>
      <c r="X110" s="234" t="str">
        <f t="shared" si="14"/>
        <v/>
      </c>
      <c r="Y110" s="234" t="str">
        <f t="shared" si="15"/>
        <v/>
      </c>
      <c r="AA110" s="235" t="s">
        <v>199</v>
      </c>
      <c r="AB110" s="213"/>
    </row>
    <row r="111" spans="1:28" x14ac:dyDescent="0.2">
      <c r="A111" s="289" t="str">
        <f t="shared" si="9"/>
        <v/>
      </c>
      <c r="B111" s="282"/>
      <c r="C111" s="228"/>
      <c r="D111" s="236"/>
      <c r="E111" s="236"/>
      <c r="F111" s="237"/>
      <c r="G111" s="239"/>
      <c r="H111" s="239"/>
      <c r="I111" s="239"/>
      <c r="J111" s="239"/>
      <c r="K111" s="239"/>
      <c r="L111" s="239"/>
      <c r="M111" s="239"/>
      <c r="N111" s="240"/>
      <c r="O111" s="87" t="s">
        <v>432</v>
      </c>
      <c r="P111" s="88">
        <v>6</v>
      </c>
      <c r="R111" s="234" t="str">
        <f t="shared" si="10"/>
        <v>NO</v>
      </c>
      <c r="S111" s="234" t="str">
        <f t="shared" si="11"/>
        <v/>
      </c>
      <c r="T111" s="234" t="str">
        <f t="shared" si="16"/>
        <v/>
      </c>
      <c r="U111" s="234" t="str">
        <f t="shared" si="12"/>
        <v>NO</v>
      </c>
      <c r="V111" s="234" t="str">
        <f t="shared" si="17"/>
        <v/>
      </c>
      <c r="W111" s="234" t="str">
        <f t="shared" si="13"/>
        <v/>
      </c>
      <c r="X111" s="234" t="str">
        <f t="shared" si="14"/>
        <v/>
      </c>
      <c r="Y111" s="234" t="str">
        <f t="shared" si="15"/>
        <v/>
      </c>
      <c r="AA111" s="235" t="s">
        <v>200</v>
      </c>
      <c r="AB111" s="213"/>
    </row>
    <row r="112" spans="1:28" x14ac:dyDescent="0.2">
      <c r="A112" s="289" t="str">
        <f t="shared" si="9"/>
        <v/>
      </c>
      <c r="B112" s="282"/>
      <c r="C112" s="228"/>
      <c r="D112" s="236"/>
      <c r="E112" s="236"/>
      <c r="F112" s="237"/>
      <c r="G112" s="239"/>
      <c r="H112" s="239"/>
      <c r="I112" s="239"/>
      <c r="J112" s="239"/>
      <c r="K112" s="239"/>
      <c r="L112" s="239"/>
      <c r="M112" s="239"/>
      <c r="N112" s="239"/>
      <c r="O112" s="87" t="s">
        <v>432</v>
      </c>
      <c r="P112" s="88">
        <v>7</v>
      </c>
      <c r="R112" s="234" t="str">
        <f t="shared" si="10"/>
        <v>NO</v>
      </c>
      <c r="S112" s="234" t="str">
        <f t="shared" si="11"/>
        <v/>
      </c>
      <c r="T112" s="234" t="str">
        <f t="shared" si="16"/>
        <v/>
      </c>
      <c r="U112" s="234" t="str">
        <f t="shared" si="12"/>
        <v>NO</v>
      </c>
      <c r="V112" s="234" t="str">
        <f t="shared" si="17"/>
        <v/>
      </c>
      <c r="W112" s="234" t="str">
        <f t="shared" si="13"/>
        <v/>
      </c>
      <c r="X112" s="234" t="str">
        <f t="shared" si="14"/>
        <v/>
      </c>
      <c r="Y112" s="234" t="str">
        <f t="shared" si="15"/>
        <v/>
      </c>
      <c r="AA112" s="235" t="s">
        <v>201</v>
      </c>
      <c r="AB112" s="213"/>
    </row>
    <row r="113" spans="1:28" x14ac:dyDescent="0.2">
      <c r="A113" s="289" t="str">
        <f t="shared" si="9"/>
        <v/>
      </c>
      <c r="B113" s="282"/>
      <c r="C113" s="228"/>
      <c r="D113" s="236"/>
      <c r="E113" s="236"/>
      <c r="F113" s="237"/>
      <c r="G113" s="239"/>
      <c r="H113" s="239"/>
      <c r="I113" s="239"/>
      <c r="J113" s="239"/>
      <c r="K113" s="239"/>
      <c r="L113" s="239"/>
      <c r="M113" s="239"/>
      <c r="N113" s="239"/>
      <c r="O113" s="87" t="s">
        <v>432</v>
      </c>
      <c r="P113" s="88">
        <v>8</v>
      </c>
      <c r="R113" s="234" t="str">
        <f t="shared" si="10"/>
        <v>NO</v>
      </c>
      <c r="S113" s="234" t="str">
        <f t="shared" si="11"/>
        <v/>
      </c>
      <c r="T113" s="234" t="str">
        <f t="shared" si="16"/>
        <v/>
      </c>
      <c r="U113" s="234" t="str">
        <f t="shared" si="12"/>
        <v>NO</v>
      </c>
      <c r="V113" s="234" t="str">
        <f t="shared" si="17"/>
        <v/>
      </c>
      <c r="W113" s="234" t="str">
        <f t="shared" si="13"/>
        <v/>
      </c>
      <c r="X113" s="234" t="str">
        <f t="shared" si="14"/>
        <v/>
      </c>
      <c r="Y113" s="234" t="str">
        <f t="shared" si="15"/>
        <v/>
      </c>
      <c r="AA113" s="235" t="s">
        <v>202</v>
      </c>
      <c r="AB113" s="213"/>
    </row>
    <row r="114" spans="1:28" x14ac:dyDescent="0.2">
      <c r="A114" s="289" t="str">
        <f t="shared" si="9"/>
        <v/>
      </c>
      <c r="B114" s="282"/>
      <c r="C114" s="228"/>
      <c r="D114" s="236"/>
      <c r="E114" s="236"/>
      <c r="F114" s="237"/>
      <c r="G114" s="239"/>
      <c r="H114" s="239"/>
      <c r="I114" s="239"/>
      <c r="J114" s="239"/>
      <c r="K114" s="239"/>
      <c r="L114" s="239"/>
      <c r="M114" s="239"/>
      <c r="N114" s="239"/>
      <c r="O114" s="87" t="s">
        <v>432</v>
      </c>
      <c r="P114" s="88">
        <v>9</v>
      </c>
      <c r="R114" s="234" t="str">
        <f t="shared" si="10"/>
        <v>NO</v>
      </c>
      <c r="S114" s="234" t="str">
        <f t="shared" si="11"/>
        <v/>
      </c>
      <c r="T114" s="234" t="str">
        <f t="shared" si="16"/>
        <v/>
      </c>
      <c r="U114" s="234" t="str">
        <f t="shared" si="12"/>
        <v>NO</v>
      </c>
      <c r="V114" s="234" t="str">
        <f t="shared" si="17"/>
        <v/>
      </c>
      <c r="W114" s="234" t="str">
        <f t="shared" si="13"/>
        <v/>
      </c>
      <c r="X114" s="234" t="str">
        <f t="shared" si="14"/>
        <v/>
      </c>
      <c r="Y114" s="234" t="str">
        <f t="shared" si="15"/>
        <v/>
      </c>
      <c r="AA114" s="235" t="s">
        <v>203</v>
      </c>
      <c r="AB114" s="213"/>
    </row>
    <row r="115" spans="1:28" x14ac:dyDescent="0.2">
      <c r="A115" s="289" t="str">
        <f t="shared" si="9"/>
        <v/>
      </c>
      <c r="B115" s="282"/>
      <c r="C115" s="228"/>
      <c r="D115" s="236"/>
      <c r="E115" s="236"/>
      <c r="F115" s="237"/>
      <c r="G115" s="239"/>
      <c r="H115" s="239"/>
      <c r="I115" s="239"/>
      <c r="J115" s="239"/>
      <c r="K115" s="239"/>
      <c r="L115" s="239"/>
      <c r="M115" s="239"/>
      <c r="N115" s="239"/>
      <c r="O115" s="87" t="s">
        <v>432</v>
      </c>
      <c r="P115" s="88">
        <v>10</v>
      </c>
      <c r="R115" s="234" t="str">
        <f t="shared" si="10"/>
        <v>NO</v>
      </c>
      <c r="S115" s="234" t="str">
        <f t="shared" si="11"/>
        <v/>
      </c>
      <c r="T115" s="234" t="str">
        <f t="shared" si="16"/>
        <v/>
      </c>
      <c r="U115" s="234" t="str">
        <f t="shared" si="12"/>
        <v>NO</v>
      </c>
      <c r="V115" s="234" t="str">
        <f t="shared" si="17"/>
        <v/>
      </c>
      <c r="W115" s="234" t="str">
        <f t="shared" si="13"/>
        <v/>
      </c>
      <c r="X115" s="234" t="str">
        <f t="shared" si="14"/>
        <v/>
      </c>
      <c r="Y115" s="234" t="str">
        <f t="shared" si="15"/>
        <v/>
      </c>
      <c r="AA115" s="235" t="s">
        <v>204</v>
      </c>
      <c r="AB115" s="213"/>
    </row>
    <row r="116" spans="1:28" x14ac:dyDescent="0.2">
      <c r="A116" s="289" t="str">
        <f t="shared" si="9"/>
        <v/>
      </c>
      <c r="B116" s="282"/>
      <c r="C116" s="228"/>
      <c r="D116" s="236"/>
      <c r="E116" s="236"/>
      <c r="F116" s="237"/>
      <c r="G116" s="239"/>
      <c r="H116" s="239"/>
      <c r="I116" s="239"/>
      <c r="J116" s="239"/>
      <c r="K116" s="239"/>
      <c r="L116" s="239"/>
      <c r="M116" s="239"/>
      <c r="N116" s="239"/>
      <c r="O116" s="87" t="s">
        <v>432</v>
      </c>
      <c r="P116" s="88">
        <v>11</v>
      </c>
      <c r="R116" s="234" t="str">
        <f t="shared" si="10"/>
        <v>NO</v>
      </c>
      <c r="S116" s="234" t="str">
        <f t="shared" si="11"/>
        <v/>
      </c>
      <c r="T116" s="234" t="str">
        <f t="shared" si="16"/>
        <v/>
      </c>
      <c r="U116" s="234" t="str">
        <f t="shared" si="12"/>
        <v>NO</v>
      </c>
      <c r="V116" s="234" t="str">
        <f t="shared" si="17"/>
        <v/>
      </c>
      <c r="W116" s="234" t="str">
        <f t="shared" si="13"/>
        <v/>
      </c>
      <c r="X116" s="234" t="str">
        <f t="shared" si="14"/>
        <v/>
      </c>
      <c r="Y116" s="234" t="str">
        <f t="shared" si="15"/>
        <v/>
      </c>
      <c r="AA116" s="235" t="s">
        <v>205</v>
      </c>
      <c r="AB116" s="213"/>
    </row>
    <row r="117" spans="1:28" x14ac:dyDescent="0.2">
      <c r="A117" s="289" t="str">
        <f t="shared" si="9"/>
        <v/>
      </c>
      <c r="B117" s="282"/>
      <c r="C117" s="228"/>
      <c r="D117" s="236"/>
      <c r="E117" s="236"/>
      <c r="F117" s="237"/>
      <c r="G117" s="239"/>
      <c r="H117" s="239"/>
      <c r="I117" s="239"/>
      <c r="J117" s="239"/>
      <c r="K117" s="239"/>
      <c r="L117" s="239"/>
      <c r="M117" s="239"/>
      <c r="N117" s="239"/>
      <c r="O117" s="87" t="s">
        <v>432</v>
      </c>
      <c r="P117" s="88">
        <v>12</v>
      </c>
      <c r="R117" s="234" t="str">
        <f t="shared" si="10"/>
        <v>NO</v>
      </c>
      <c r="S117" s="234" t="str">
        <f t="shared" si="11"/>
        <v/>
      </c>
      <c r="T117" s="234" t="str">
        <f t="shared" si="16"/>
        <v/>
      </c>
      <c r="U117" s="234" t="str">
        <f t="shared" si="12"/>
        <v>NO</v>
      </c>
      <c r="V117" s="234" t="str">
        <f t="shared" si="17"/>
        <v/>
      </c>
      <c r="W117" s="234" t="str">
        <f t="shared" si="13"/>
        <v/>
      </c>
      <c r="X117" s="234" t="str">
        <f t="shared" si="14"/>
        <v/>
      </c>
      <c r="Y117" s="234" t="str">
        <f t="shared" si="15"/>
        <v/>
      </c>
      <c r="AA117" s="235" t="s">
        <v>206</v>
      </c>
      <c r="AB117" s="213"/>
    </row>
    <row r="118" spans="1:28" x14ac:dyDescent="0.2">
      <c r="A118" s="289" t="str">
        <f t="shared" si="9"/>
        <v/>
      </c>
      <c r="B118" s="282"/>
      <c r="C118" s="228"/>
      <c r="D118" s="236"/>
      <c r="E118" s="236"/>
      <c r="F118" s="237"/>
      <c r="G118" s="239"/>
      <c r="H118" s="239"/>
      <c r="I118" s="239"/>
      <c r="J118" s="239"/>
      <c r="K118" s="239"/>
      <c r="L118" s="239"/>
      <c r="M118" s="239"/>
      <c r="N118" s="239"/>
      <c r="O118" s="87" t="s">
        <v>432</v>
      </c>
      <c r="P118" s="88">
        <v>13</v>
      </c>
      <c r="R118" s="234" t="str">
        <f t="shared" si="10"/>
        <v>NO</v>
      </c>
      <c r="S118" s="234" t="str">
        <f t="shared" si="11"/>
        <v/>
      </c>
      <c r="T118" s="234" t="str">
        <f t="shared" si="16"/>
        <v/>
      </c>
      <c r="U118" s="234" t="str">
        <f t="shared" si="12"/>
        <v>NO</v>
      </c>
      <c r="V118" s="234" t="str">
        <f t="shared" si="17"/>
        <v/>
      </c>
      <c r="W118" s="234" t="str">
        <f t="shared" si="13"/>
        <v/>
      </c>
      <c r="X118" s="234" t="str">
        <f t="shared" si="14"/>
        <v/>
      </c>
      <c r="Y118" s="234" t="str">
        <f t="shared" si="15"/>
        <v/>
      </c>
      <c r="AA118" s="235" t="s">
        <v>207</v>
      </c>
      <c r="AB118" s="213"/>
    </row>
    <row r="119" spans="1:28" x14ac:dyDescent="0.2">
      <c r="A119" s="289" t="str">
        <f t="shared" si="9"/>
        <v/>
      </c>
      <c r="B119" s="282"/>
      <c r="C119" s="228"/>
      <c r="D119" s="236"/>
      <c r="E119" s="236"/>
      <c r="F119" s="237"/>
      <c r="G119" s="239"/>
      <c r="H119" s="239"/>
      <c r="I119" s="239"/>
      <c r="J119" s="239"/>
      <c r="K119" s="239"/>
      <c r="L119" s="239"/>
      <c r="M119" s="239"/>
      <c r="N119" s="239"/>
      <c r="O119" s="87" t="s">
        <v>432</v>
      </c>
      <c r="P119" s="88">
        <v>14</v>
      </c>
      <c r="R119" s="234" t="str">
        <f t="shared" si="10"/>
        <v>NO</v>
      </c>
      <c r="S119" s="234" t="str">
        <f t="shared" si="11"/>
        <v/>
      </c>
      <c r="T119" s="234" t="str">
        <f t="shared" si="16"/>
        <v/>
      </c>
      <c r="U119" s="234" t="str">
        <f t="shared" si="12"/>
        <v>NO</v>
      </c>
      <c r="V119" s="234" t="str">
        <f t="shared" si="17"/>
        <v/>
      </c>
      <c r="W119" s="234" t="str">
        <f t="shared" si="13"/>
        <v/>
      </c>
      <c r="X119" s="234" t="str">
        <f t="shared" si="14"/>
        <v/>
      </c>
      <c r="Y119" s="234" t="str">
        <f t="shared" si="15"/>
        <v/>
      </c>
      <c r="AA119" s="235" t="s">
        <v>208</v>
      </c>
      <c r="AB119" s="213"/>
    </row>
    <row r="120" spans="1:28" x14ac:dyDescent="0.2">
      <c r="A120" s="289" t="str">
        <f t="shared" si="9"/>
        <v/>
      </c>
      <c r="B120" s="282"/>
      <c r="C120" s="228"/>
      <c r="D120" s="236"/>
      <c r="E120" s="236"/>
      <c r="F120" s="237"/>
      <c r="G120" s="239"/>
      <c r="H120" s="239"/>
      <c r="I120" s="239"/>
      <c r="J120" s="239"/>
      <c r="K120" s="239"/>
      <c r="L120" s="239"/>
      <c r="M120" s="239"/>
      <c r="N120" s="239"/>
      <c r="O120" s="87" t="s">
        <v>432</v>
      </c>
      <c r="P120" s="88">
        <v>15</v>
      </c>
      <c r="R120" s="234" t="str">
        <f t="shared" si="10"/>
        <v>NO</v>
      </c>
      <c r="S120" s="234" t="str">
        <f t="shared" si="11"/>
        <v/>
      </c>
      <c r="T120" s="234" t="str">
        <f t="shared" si="16"/>
        <v/>
      </c>
      <c r="U120" s="234" t="str">
        <f t="shared" si="12"/>
        <v>NO</v>
      </c>
      <c r="V120" s="234" t="str">
        <f t="shared" si="17"/>
        <v/>
      </c>
      <c r="W120" s="234" t="str">
        <f t="shared" si="13"/>
        <v/>
      </c>
      <c r="X120" s="234" t="str">
        <f t="shared" si="14"/>
        <v/>
      </c>
      <c r="Y120" s="234" t="str">
        <f t="shared" si="15"/>
        <v/>
      </c>
      <c r="AA120" s="235" t="s">
        <v>209</v>
      </c>
      <c r="AB120" s="213"/>
    </row>
    <row r="121" spans="1:28" x14ac:dyDescent="0.2">
      <c r="A121" s="289" t="str">
        <f t="shared" si="9"/>
        <v/>
      </c>
      <c r="B121" s="282"/>
      <c r="C121" s="228"/>
      <c r="D121" s="236"/>
      <c r="E121" s="236"/>
      <c r="F121" s="237"/>
      <c r="G121" s="239"/>
      <c r="H121" s="239"/>
      <c r="I121" s="239"/>
      <c r="J121" s="239"/>
      <c r="K121" s="239"/>
      <c r="L121" s="239"/>
      <c r="M121" s="239"/>
      <c r="N121" s="239"/>
      <c r="O121" s="87" t="s">
        <v>432</v>
      </c>
      <c r="P121" s="88">
        <v>16</v>
      </c>
      <c r="R121" s="234" t="str">
        <f t="shared" si="10"/>
        <v>NO</v>
      </c>
      <c r="S121" s="234" t="str">
        <f t="shared" si="11"/>
        <v/>
      </c>
      <c r="T121" s="234" t="str">
        <f t="shared" si="16"/>
        <v/>
      </c>
      <c r="U121" s="234" t="str">
        <f t="shared" si="12"/>
        <v>NO</v>
      </c>
      <c r="V121" s="234" t="str">
        <f t="shared" si="17"/>
        <v/>
      </c>
      <c r="W121" s="234" t="str">
        <f t="shared" si="13"/>
        <v/>
      </c>
      <c r="X121" s="234" t="str">
        <f t="shared" si="14"/>
        <v/>
      </c>
      <c r="Y121" s="234" t="str">
        <f t="shared" si="15"/>
        <v/>
      </c>
      <c r="AA121" s="235" t="s">
        <v>210</v>
      </c>
      <c r="AB121" s="213"/>
    </row>
    <row r="122" spans="1:28" x14ac:dyDescent="0.2">
      <c r="A122" s="289" t="str">
        <f t="shared" si="9"/>
        <v/>
      </c>
      <c r="B122" s="282"/>
      <c r="C122" s="228"/>
      <c r="D122" s="236"/>
      <c r="E122" s="236"/>
      <c r="F122" s="237"/>
      <c r="G122" s="239"/>
      <c r="H122" s="239"/>
      <c r="I122" s="239"/>
      <c r="J122" s="239"/>
      <c r="K122" s="239"/>
      <c r="L122" s="239"/>
      <c r="M122" s="239"/>
      <c r="N122" s="239"/>
      <c r="O122" s="87" t="s">
        <v>432</v>
      </c>
      <c r="P122" s="88">
        <v>17</v>
      </c>
      <c r="R122" s="234" t="str">
        <f t="shared" si="10"/>
        <v>NO</v>
      </c>
      <c r="S122" s="234" t="str">
        <f t="shared" si="11"/>
        <v/>
      </c>
      <c r="T122" s="234" t="str">
        <f t="shared" si="16"/>
        <v/>
      </c>
      <c r="U122" s="234" t="str">
        <f t="shared" si="12"/>
        <v>NO</v>
      </c>
      <c r="V122" s="234" t="str">
        <f t="shared" si="17"/>
        <v/>
      </c>
      <c r="W122" s="234" t="str">
        <f t="shared" si="13"/>
        <v/>
      </c>
      <c r="X122" s="234" t="str">
        <f t="shared" si="14"/>
        <v/>
      </c>
      <c r="Y122" s="234" t="str">
        <f t="shared" si="15"/>
        <v/>
      </c>
      <c r="AA122" s="235" t="s">
        <v>211</v>
      </c>
      <c r="AB122" s="213"/>
    </row>
    <row r="123" spans="1:28" x14ac:dyDescent="0.2">
      <c r="A123" s="289" t="str">
        <f t="shared" si="9"/>
        <v/>
      </c>
      <c r="B123" s="282"/>
      <c r="C123" s="228"/>
      <c r="D123" s="236"/>
      <c r="E123" s="236"/>
      <c r="F123" s="237"/>
      <c r="G123" s="239"/>
      <c r="H123" s="239"/>
      <c r="I123" s="239"/>
      <c r="J123" s="239"/>
      <c r="K123" s="239"/>
      <c r="L123" s="239"/>
      <c r="M123" s="239"/>
      <c r="N123" s="239"/>
      <c r="O123" s="87" t="s">
        <v>432</v>
      </c>
      <c r="P123" s="88">
        <v>18</v>
      </c>
      <c r="R123" s="234" t="str">
        <f t="shared" si="10"/>
        <v>NO</v>
      </c>
      <c r="S123" s="234" t="str">
        <f t="shared" si="11"/>
        <v/>
      </c>
      <c r="T123" s="234" t="str">
        <f t="shared" si="16"/>
        <v/>
      </c>
      <c r="U123" s="234" t="str">
        <f t="shared" si="12"/>
        <v>NO</v>
      </c>
      <c r="V123" s="234" t="str">
        <f t="shared" si="17"/>
        <v/>
      </c>
      <c r="W123" s="234" t="str">
        <f t="shared" si="13"/>
        <v/>
      </c>
      <c r="X123" s="234" t="str">
        <f t="shared" si="14"/>
        <v/>
      </c>
      <c r="Y123" s="234" t="str">
        <f t="shared" si="15"/>
        <v/>
      </c>
      <c r="AA123" s="235" t="s">
        <v>212</v>
      </c>
      <c r="AB123" s="213"/>
    </row>
    <row r="124" spans="1:28" x14ac:dyDescent="0.2">
      <c r="A124" s="289" t="str">
        <f t="shared" si="9"/>
        <v/>
      </c>
      <c r="B124" s="282"/>
      <c r="C124" s="228"/>
      <c r="D124" s="236"/>
      <c r="E124" s="236"/>
      <c r="F124" s="237"/>
      <c r="G124" s="239"/>
      <c r="H124" s="239"/>
      <c r="I124" s="239"/>
      <c r="J124" s="239"/>
      <c r="K124" s="239"/>
      <c r="L124" s="239"/>
      <c r="M124" s="239"/>
      <c r="N124" s="239"/>
      <c r="O124" s="87" t="s">
        <v>432</v>
      </c>
      <c r="P124" s="88">
        <v>19</v>
      </c>
      <c r="R124" s="234" t="str">
        <f t="shared" si="10"/>
        <v>NO</v>
      </c>
      <c r="S124" s="234" t="str">
        <f t="shared" si="11"/>
        <v/>
      </c>
      <c r="T124" s="234" t="str">
        <f t="shared" si="16"/>
        <v/>
      </c>
      <c r="U124" s="234" t="str">
        <f t="shared" si="12"/>
        <v>NO</v>
      </c>
      <c r="V124" s="234" t="str">
        <f t="shared" si="17"/>
        <v/>
      </c>
      <c r="W124" s="234" t="str">
        <f t="shared" si="13"/>
        <v/>
      </c>
      <c r="X124" s="234" t="str">
        <f t="shared" si="14"/>
        <v/>
      </c>
      <c r="Y124" s="234" t="str">
        <f t="shared" si="15"/>
        <v/>
      </c>
      <c r="AA124" s="235" t="s">
        <v>213</v>
      </c>
      <c r="AB124" s="213"/>
    </row>
    <row r="125" spans="1:28" x14ac:dyDescent="0.2">
      <c r="A125" s="289" t="str">
        <f t="shared" si="9"/>
        <v/>
      </c>
      <c r="B125" s="282"/>
      <c r="C125" s="228"/>
      <c r="D125" s="236"/>
      <c r="E125" s="236"/>
      <c r="F125" s="237"/>
      <c r="G125" s="239"/>
      <c r="H125" s="239"/>
      <c r="I125" s="239"/>
      <c r="J125" s="239"/>
      <c r="K125" s="239"/>
      <c r="L125" s="239"/>
      <c r="M125" s="239"/>
      <c r="N125" s="239"/>
      <c r="O125" s="87" t="s">
        <v>432</v>
      </c>
      <c r="P125" s="88">
        <v>20</v>
      </c>
      <c r="R125" s="234" t="str">
        <f t="shared" si="10"/>
        <v>NO</v>
      </c>
      <c r="S125" s="234" t="str">
        <f t="shared" si="11"/>
        <v/>
      </c>
      <c r="T125" s="234" t="str">
        <f t="shared" si="16"/>
        <v/>
      </c>
      <c r="U125" s="234" t="str">
        <f t="shared" si="12"/>
        <v>NO</v>
      </c>
      <c r="V125" s="234" t="str">
        <f t="shared" si="17"/>
        <v/>
      </c>
      <c r="W125" s="234" t="str">
        <f t="shared" si="13"/>
        <v/>
      </c>
      <c r="X125" s="234" t="str">
        <f t="shared" si="14"/>
        <v/>
      </c>
      <c r="Y125" s="234" t="str">
        <f t="shared" si="15"/>
        <v/>
      </c>
      <c r="AA125" s="235" t="s">
        <v>214</v>
      </c>
      <c r="AB125" s="213"/>
    </row>
    <row r="126" spans="1:28" x14ac:dyDescent="0.2">
      <c r="A126" s="289" t="str">
        <f t="shared" si="9"/>
        <v/>
      </c>
      <c r="B126" s="282"/>
      <c r="C126" s="228"/>
      <c r="D126" s="236"/>
      <c r="E126" s="236"/>
      <c r="F126" s="237"/>
      <c r="G126" s="239"/>
      <c r="H126" s="239"/>
      <c r="I126" s="239"/>
      <c r="J126" s="239"/>
      <c r="K126" s="239"/>
      <c r="L126" s="239"/>
      <c r="M126" s="239"/>
      <c r="N126" s="239"/>
      <c r="O126" s="87" t="s">
        <v>432</v>
      </c>
      <c r="P126" s="88">
        <v>21</v>
      </c>
      <c r="R126" s="234" t="str">
        <f t="shared" si="10"/>
        <v>NO</v>
      </c>
      <c r="S126" s="234" t="str">
        <f t="shared" si="11"/>
        <v/>
      </c>
      <c r="T126" s="234" t="str">
        <f t="shared" si="16"/>
        <v/>
      </c>
      <c r="U126" s="234" t="str">
        <f t="shared" si="12"/>
        <v>NO</v>
      </c>
      <c r="V126" s="234" t="str">
        <f t="shared" si="17"/>
        <v/>
      </c>
      <c r="W126" s="234" t="str">
        <f t="shared" si="13"/>
        <v/>
      </c>
      <c r="X126" s="234" t="str">
        <f t="shared" si="14"/>
        <v/>
      </c>
      <c r="Y126" s="234" t="str">
        <f t="shared" si="15"/>
        <v/>
      </c>
      <c r="AA126" s="235" t="s">
        <v>215</v>
      </c>
      <c r="AB126" s="213"/>
    </row>
    <row r="127" spans="1:28" x14ac:dyDescent="0.2">
      <c r="A127" s="289" t="str">
        <f t="shared" si="9"/>
        <v/>
      </c>
      <c r="B127" s="282"/>
      <c r="C127" s="228"/>
      <c r="D127" s="236"/>
      <c r="E127" s="236"/>
      <c r="F127" s="237"/>
      <c r="G127" s="239"/>
      <c r="H127" s="239"/>
      <c r="I127" s="239"/>
      <c r="J127" s="239"/>
      <c r="K127" s="239"/>
      <c r="L127" s="239"/>
      <c r="M127" s="239"/>
      <c r="N127" s="239"/>
      <c r="O127" s="87" t="s">
        <v>432</v>
      </c>
      <c r="P127" s="88">
        <v>22</v>
      </c>
      <c r="R127" s="234" t="str">
        <f t="shared" si="10"/>
        <v>NO</v>
      </c>
      <c r="S127" s="234" t="str">
        <f t="shared" si="11"/>
        <v/>
      </c>
      <c r="T127" s="234" t="str">
        <f t="shared" si="16"/>
        <v/>
      </c>
      <c r="U127" s="234" t="str">
        <f t="shared" si="12"/>
        <v>NO</v>
      </c>
      <c r="V127" s="234" t="str">
        <f t="shared" si="17"/>
        <v/>
      </c>
      <c r="W127" s="234" t="str">
        <f t="shared" si="13"/>
        <v/>
      </c>
      <c r="X127" s="234" t="str">
        <f t="shared" si="14"/>
        <v/>
      </c>
      <c r="Y127" s="234" t="str">
        <f t="shared" si="15"/>
        <v/>
      </c>
      <c r="AA127" s="235" t="s">
        <v>216</v>
      </c>
      <c r="AB127" s="213"/>
    </row>
    <row r="128" spans="1:28" x14ac:dyDescent="0.2">
      <c r="A128" s="289" t="str">
        <f t="shared" si="9"/>
        <v/>
      </c>
      <c r="B128" s="282"/>
      <c r="C128" s="228"/>
      <c r="D128" s="236"/>
      <c r="E128" s="236"/>
      <c r="F128" s="237"/>
      <c r="G128" s="239"/>
      <c r="H128" s="239"/>
      <c r="I128" s="239"/>
      <c r="J128" s="239"/>
      <c r="K128" s="239"/>
      <c r="L128" s="239"/>
      <c r="M128" s="239"/>
      <c r="N128" s="239"/>
      <c r="O128" s="87" t="s">
        <v>432</v>
      </c>
      <c r="P128" s="88">
        <v>23</v>
      </c>
      <c r="R128" s="234" t="str">
        <f t="shared" si="10"/>
        <v>NO</v>
      </c>
      <c r="S128" s="234" t="str">
        <f t="shared" si="11"/>
        <v/>
      </c>
      <c r="T128" s="234" t="str">
        <f t="shared" si="16"/>
        <v/>
      </c>
      <c r="U128" s="234" t="str">
        <f t="shared" si="12"/>
        <v>NO</v>
      </c>
      <c r="V128" s="234" t="str">
        <f t="shared" si="17"/>
        <v/>
      </c>
      <c r="W128" s="234" t="str">
        <f t="shared" si="13"/>
        <v/>
      </c>
      <c r="X128" s="234" t="str">
        <f t="shared" si="14"/>
        <v/>
      </c>
      <c r="Y128" s="234" t="str">
        <f t="shared" si="15"/>
        <v/>
      </c>
      <c r="AA128" s="235" t="s">
        <v>217</v>
      </c>
      <c r="AB128" s="213"/>
    </row>
    <row r="129" spans="1:28" x14ac:dyDescent="0.2">
      <c r="A129" s="289" t="str">
        <f t="shared" si="9"/>
        <v/>
      </c>
      <c r="B129" s="282"/>
      <c r="C129" s="228"/>
      <c r="D129" s="236"/>
      <c r="E129" s="236"/>
      <c r="F129" s="237"/>
      <c r="G129" s="239"/>
      <c r="H129" s="239"/>
      <c r="I129" s="239"/>
      <c r="J129" s="239"/>
      <c r="K129" s="239"/>
      <c r="L129" s="239"/>
      <c r="M129" s="239"/>
      <c r="N129" s="239"/>
      <c r="O129" s="87" t="s">
        <v>432</v>
      </c>
      <c r="P129" s="88">
        <v>24</v>
      </c>
      <c r="R129" s="234" t="str">
        <f t="shared" si="10"/>
        <v>NO</v>
      </c>
      <c r="S129" s="234" t="str">
        <f t="shared" si="11"/>
        <v/>
      </c>
      <c r="T129" s="234" t="str">
        <f t="shared" si="16"/>
        <v/>
      </c>
      <c r="U129" s="234" t="str">
        <f t="shared" si="12"/>
        <v>NO</v>
      </c>
      <c r="V129" s="234" t="str">
        <f t="shared" si="17"/>
        <v/>
      </c>
      <c r="W129" s="234" t="str">
        <f t="shared" si="13"/>
        <v/>
      </c>
      <c r="X129" s="234" t="str">
        <f t="shared" si="14"/>
        <v/>
      </c>
      <c r="Y129" s="234" t="str">
        <f t="shared" si="15"/>
        <v/>
      </c>
      <c r="AA129" s="235" t="s">
        <v>218</v>
      </c>
      <c r="AB129" s="213"/>
    </row>
    <row r="130" spans="1:28" x14ac:dyDescent="0.2">
      <c r="A130" s="289" t="str">
        <f t="shared" si="9"/>
        <v/>
      </c>
      <c r="B130" s="282"/>
      <c r="C130" s="228"/>
      <c r="D130" s="236"/>
      <c r="E130" s="236"/>
      <c r="F130" s="237"/>
      <c r="G130" s="239"/>
      <c r="H130" s="239"/>
      <c r="I130" s="239"/>
      <c r="J130" s="239"/>
      <c r="K130" s="239"/>
      <c r="L130" s="239"/>
      <c r="M130" s="239"/>
      <c r="N130" s="239"/>
      <c r="O130" s="87" t="s">
        <v>432</v>
      </c>
      <c r="P130" s="88">
        <v>25</v>
      </c>
      <c r="R130" s="234" t="str">
        <f t="shared" si="10"/>
        <v>NO</v>
      </c>
      <c r="S130" s="234" t="str">
        <f t="shared" si="11"/>
        <v/>
      </c>
      <c r="T130" s="234" t="str">
        <f t="shared" si="16"/>
        <v/>
      </c>
      <c r="U130" s="234" t="str">
        <f t="shared" si="12"/>
        <v>NO</v>
      </c>
      <c r="V130" s="234" t="str">
        <f t="shared" si="17"/>
        <v/>
      </c>
      <c r="W130" s="234" t="str">
        <f t="shared" si="13"/>
        <v/>
      </c>
      <c r="X130" s="234" t="str">
        <f t="shared" si="14"/>
        <v/>
      </c>
      <c r="Y130" s="234" t="str">
        <f t="shared" si="15"/>
        <v/>
      </c>
      <c r="AA130" s="235" t="s">
        <v>219</v>
      </c>
      <c r="AB130" s="213"/>
    </row>
    <row r="131" spans="1:28" x14ac:dyDescent="0.2">
      <c r="A131" s="289" t="str">
        <f t="shared" si="9"/>
        <v/>
      </c>
      <c r="B131" s="282"/>
      <c r="C131" s="228"/>
      <c r="D131" s="236"/>
      <c r="E131" s="236"/>
      <c r="F131" s="237"/>
      <c r="G131" s="239"/>
      <c r="H131" s="239"/>
      <c r="I131" s="239"/>
      <c r="J131" s="239"/>
      <c r="K131" s="239"/>
      <c r="L131" s="239"/>
      <c r="M131" s="239"/>
      <c r="N131" s="239"/>
      <c r="O131" s="87" t="s">
        <v>432</v>
      </c>
      <c r="P131" s="88">
        <v>26</v>
      </c>
      <c r="R131" s="234" t="str">
        <f t="shared" si="10"/>
        <v>NO</v>
      </c>
      <c r="S131" s="234" t="str">
        <f t="shared" si="11"/>
        <v/>
      </c>
      <c r="T131" s="234" t="str">
        <f t="shared" si="16"/>
        <v/>
      </c>
      <c r="U131" s="234" t="str">
        <f t="shared" si="12"/>
        <v>NO</v>
      </c>
      <c r="V131" s="234" t="str">
        <f t="shared" si="17"/>
        <v/>
      </c>
      <c r="W131" s="234" t="str">
        <f t="shared" si="13"/>
        <v/>
      </c>
      <c r="X131" s="234" t="str">
        <f t="shared" si="14"/>
        <v/>
      </c>
      <c r="Y131" s="234" t="str">
        <f t="shared" si="15"/>
        <v/>
      </c>
      <c r="AA131" s="235" t="s">
        <v>220</v>
      </c>
      <c r="AB131" s="213"/>
    </row>
    <row r="132" spans="1:28" x14ac:dyDescent="0.2">
      <c r="A132" s="289" t="str">
        <f t="shared" si="9"/>
        <v/>
      </c>
      <c r="B132" s="282"/>
      <c r="C132" s="228"/>
      <c r="D132" s="236"/>
      <c r="E132" s="236"/>
      <c r="F132" s="237"/>
      <c r="G132" s="239"/>
      <c r="H132" s="239"/>
      <c r="I132" s="239"/>
      <c r="J132" s="239"/>
      <c r="K132" s="239"/>
      <c r="L132" s="239"/>
      <c r="M132" s="239"/>
      <c r="N132" s="239"/>
      <c r="O132" s="87" t="s">
        <v>432</v>
      </c>
      <c r="P132" s="88">
        <v>27</v>
      </c>
      <c r="R132" s="234" t="str">
        <f t="shared" si="10"/>
        <v>NO</v>
      </c>
      <c r="S132" s="234" t="str">
        <f t="shared" si="11"/>
        <v/>
      </c>
      <c r="T132" s="234" t="str">
        <f t="shared" si="16"/>
        <v/>
      </c>
      <c r="U132" s="234" t="str">
        <f t="shared" si="12"/>
        <v>NO</v>
      </c>
      <c r="V132" s="234" t="str">
        <f t="shared" si="17"/>
        <v/>
      </c>
      <c r="W132" s="234" t="str">
        <f t="shared" si="13"/>
        <v/>
      </c>
      <c r="X132" s="234" t="str">
        <f t="shared" si="14"/>
        <v/>
      </c>
      <c r="Y132" s="234" t="str">
        <f t="shared" si="15"/>
        <v/>
      </c>
      <c r="AA132" s="235" t="s">
        <v>221</v>
      </c>
      <c r="AB132" s="213"/>
    </row>
    <row r="133" spans="1:28" x14ac:dyDescent="0.2">
      <c r="A133" s="289" t="str">
        <f t="shared" si="9"/>
        <v/>
      </c>
      <c r="B133" s="282"/>
      <c r="C133" s="228"/>
      <c r="D133" s="236"/>
      <c r="E133" s="236"/>
      <c r="F133" s="237"/>
      <c r="G133" s="239"/>
      <c r="H133" s="239"/>
      <c r="I133" s="239"/>
      <c r="J133" s="239"/>
      <c r="K133" s="239"/>
      <c r="L133" s="239"/>
      <c r="M133" s="239"/>
      <c r="N133" s="239"/>
      <c r="O133" s="87" t="s">
        <v>432</v>
      </c>
      <c r="P133" s="88">
        <v>28</v>
      </c>
      <c r="R133" s="234" t="str">
        <f t="shared" si="10"/>
        <v>NO</v>
      </c>
      <c r="S133" s="234" t="str">
        <f t="shared" si="11"/>
        <v/>
      </c>
      <c r="T133" s="234" t="str">
        <f t="shared" si="16"/>
        <v/>
      </c>
      <c r="U133" s="234" t="str">
        <f t="shared" si="12"/>
        <v>NO</v>
      </c>
      <c r="V133" s="234" t="str">
        <f t="shared" si="17"/>
        <v/>
      </c>
      <c r="W133" s="234" t="str">
        <f t="shared" si="13"/>
        <v/>
      </c>
      <c r="X133" s="234" t="str">
        <f t="shared" si="14"/>
        <v/>
      </c>
      <c r="Y133" s="234" t="str">
        <f t="shared" si="15"/>
        <v/>
      </c>
      <c r="AA133" s="235" t="s">
        <v>222</v>
      </c>
      <c r="AB133" s="213"/>
    </row>
    <row r="134" spans="1:28" x14ac:dyDescent="0.2">
      <c r="A134" s="289" t="str">
        <f t="shared" si="9"/>
        <v/>
      </c>
      <c r="B134" s="282"/>
      <c r="C134" s="228"/>
      <c r="D134" s="236"/>
      <c r="E134" s="236"/>
      <c r="F134" s="237"/>
      <c r="G134" s="239"/>
      <c r="H134" s="239"/>
      <c r="I134" s="239"/>
      <c r="J134" s="239"/>
      <c r="K134" s="239"/>
      <c r="L134" s="239"/>
      <c r="M134" s="239"/>
      <c r="N134" s="239"/>
      <c r="O134" s="87" t="s">
        <v>432</v>
      </c>
      <c r="P134" s="88">
        <v>29</v>
      </c>
      <c r="R134" s="234" t="str">
        <f t="shared" si="10"/>
        <v>NO</v>
      </c>
      <c r="S134" s="234" t="str">
        <f t="shared" si="11"/>
        <v/>
      </c>
      <c r="T134" s="234" t="str">
        <f t="shared" si="16"/>
        <v/>
      </c>
      <c r="U134" s="234" t="str">
        <f t="shared" si="12"/>
        <v>NO</v>
      </c>
      <c r="V134" s="234" t="str">
        <f t="shared" si="17"/>
        <v/>
      </c>
      <c r="W134" s="234" t="str">
        <f t="shared" si="13"/>
        <v/>
      </c>
      <c r="X134" s="234" t="str">
        <f t="shared" si="14"/>
        <v/>
      </c>
      <c r="Y134" s="234" t="str">
        <f t="shared" si="15"/>
        <v/>
      </c>
      <c r="AA134" s="235" t="s">
        <v>223</v>
      </c>
      <c r="AB134" s="213"/>
    </row>
    <row r="135" spans="1:28" x14ac:dyDescent="0.2">
      <c r="A135" s="289" t="str">
        <f t="shared" si="9"/>
        <v/>
      </c>
      <c r="B135" s="282"/>
      <c r="C135" s="228"/>
      <c r="D135" s="236"/>
      <c r="E135" s="236"/>
      <c r="F135" s="237"/>
      <c r="G135" s="239"/>
      <c r="H135" s="239"/>
      <c r="I135" s="239"/>
      <c r="J135" s="239"/>
      <c r="K135" s="239"/>
      <c r="L135" s="239"/>
      <c r="M135" s="239"/>
      <c r="N135" s="239"/>
      <c r="O135" s="87" t="s">
        <v>432</v>
      </c>
      <c r="P135" s="88">
        <v>30</v>
      </c>
      <c r="R135" s="234" t="str">
        <f t="shared" si="10"/>
        <v>NO</v>
      </c>
      <c r="S135" s="234" t="str">
        <f t="shared" si="11"/>
        <v/>
      </c>
      <c r="T135" s="234" t="str">
        <f t="shared" si="16"/>
        <v/>
      </c>
      <c r="U135" s="234" t="str">
        <f t="shared" si="12"/>
        <v>NO</v>
      </c>
      <c r="V135" s="234" t="str">
        <f t="shared" si="17"/>
        <v/>
      </c>
      <c r="W135" s="234" t="str">
        <f t="shared" si="13"/>
        <v/>
      </c>
      <c r="X135" s="234" t="str">
        <f t="shared" si="14"/>
        <v/>
      </c>
      <c r="Y135" s="234" t="str">
        <f t="shared" si="15"/>
        <v/>
      </c>
      <c r="AA135" s="235" t="s">
        <v>224</v>
      </c>
      <c r="AB135" s="213"/>
    </row>
    <row r="136" spans="1:28" x14ac:dyDescent="0.2">
      <c r="A136" s="289" t="str">
        <f t="shared" si="9"/>
        <v/>
      </c>
      <c r="B136" s="282"/>
      <c r="C136" s="228"/>
      <c r="D136" s="236"/>
      <c r="E136" s="236"/>
      <c r="F136" s="237"/>
      <c r="G136" s="239"/>
      <c r="H136" s="239"/>
      <c r="I136" s="239"/>
      <c r="J136" s="239"/>
      <c r="K136" s="239"/>
      <c r="L136" s="239"/>
      <c r="M136" s="239"/>
      <c r="N136" s="239"/>
      <c r="O136" s="87" t="s">
        <v>432</v>
      </c>
      <c r="P136" s="88">
        <v>31</v>
      </c>
      <c r="R136" s="234" t="str">
        <f t="shared" si="10"/>
        <v>NO</v>
      </c>
      <c r="S136" s="234" t="str">
        <f t="shared" si="11"/>
        <v/>
      </c>
      <c r="T136" s="234" t="str">
        <f t="shared" si="16"/>
        <v/>
      </c>
      <c r="U136" s="234" t="str">
        <f t="shared" si="12"/>
        <v>NO</v>
      </c>
      <c r="V136" s="234" t="str">
        <f t="shared" si="17"/>
        <v/>
      </c>
      <c r="W136" s="234" t="str">
        <f t="shared" si="13"/>
        <v/>
      </c>
      <c r="X136" s="234" t="str">
        <f t="shared" si="14"/>
        <v/>
      </c>
      <c r="Y136" s="234" t="str">
        <f t="shared" si="15"/>
        <v/>
      </c>
      <c r="AA136" s="235" t="s">
        <v>225</v>
      </c>
      <c r="AB136" s="213"/>
    </row>
    <row r="137" spans="1:28" x14ac:dyDescent="0.2">
      <c r="A137" s="289" t="str">
        <f t="shared" si="9"/>
        <v/>
      </c>
      <c r="B137" s="282"/>
      <c r="C137" s="228"/>
      <c r="D137" s="236"/>
      <c r="E137" s="236"/>
      <c r="F137" s="237"/>
      <c r="G137" s="239"/>
      <c r="H137" s="239"/>
      <c r="I137" s="239"/>
      <c r="J137" s="239"/>
      <c r="K137" s="239"/>
      <c r="L137" s="239"/>
      <c r="M137" s="239"/>
      <c r="N137" s="239"/>
      <c r="O137" s="87" t="s">
        <v>432</v>
      </c>
      <c r="P137" s="88">
        <v>32</v>
      </c>
      <c r="R137" s="234" t="str">
        <f t="shared" si="10"/>
        <v>NO</v>
      </c>
      <c r="S137" s="234" t="str">
        <f t="shared" si="11"/>
        <v/>
      </c>
      <c r="T137" s="234" t="str">
        <f t="shared" si="16"/>
        <v/>
      </c>
      <c r="U137" s="234" t="str">
        <f t="shared" si="12"/>
        <v>NO</v>
      </c>
      <c r="V137" s="234" t="str">
        <f t="shared" si="17"/>
        <v/>
      </c>
      <c r="W137" s="234" t="str">
        <f t="shared" si="13"/>
        <v/>
      </c>
      <c r="X137" s="234" t="str">
        <f t="shared" si="14"/>
        <v/>
      </c>
      <c r="Y137" s="234" t="str">
        <f t="shared" si="15"/>
        <v/>
      </c>
      <c r="AA137" s="235" t="s">
        <v>226</v>
      </c>
      <c r="AB137" s="213"/>
    </row>
    <row r="138" spans="1:28" x14ac:dyDescent="0.2">
      <c r="A138" s="289" t="str">
        <f t="shared" si="9"/>
        <v/>
      </c>
      <c r="B138" s="282"/>
      <c r="C138" s="228"/>
      <c r="D138" s="236"/>
      <c r="E138" s="236"/>
      <c r="F138" s="237"/>
      <c r="G138" s="239"/>
      <c r="H138" s="239"/>
      <c r="I138" s="239"/>
      <c r="J138" s="239"/>
      <c r="K138" s="239"/>
      <c r="L138" s="239"/>
      <c r="M138" s="239"/>
      <c r="N138" s="239"/>
      <c r="O138" s="87" t="s">
        <v>432</v>
      </c>
      <c r="P138" s="88">
        <v>33</v>
      </c>
      <c r="R138" s="234" t="str">
        <f t="shared" si="10"/>
        <v>NO</v>
      </c>
      <c r="S138" s="234" t="str">
        <f t="shared" si="11"/>
        <v/>
      </c>
      <c r="T138" s="234" t="str">
        <f t="shared" si="16"/>
        <v/>
      </c>
      <c r="U138" s="234" t="str">
        <f t="shared" si="12"/>
        <v>NO</v>
      </c>
      <c r="V138" s="234" t="str">
        <f t="shared" si="17"/>
        <v/>
      </c>
      <c r="W138" s="234" t="str">
        <f t="shared" si="13"/>
        <v/>
      </c>
      <c r="X138" s="234" t="str">
        <f t="shared" si="14"/>
        <v/>
      </c>
      <c r="Y138" s="234" t="str">
        <f t="shared" si="15"/>
        <v/>
      </c>
      <c r="AA138" s="235" t="s">
        <v>227</v>
      </c>
      <c r="AB138" s="213"/>
    </row>
    <row r="139" spans="1:28" x14ac:dyDescent="0.2">
      <c r="A139" s="289" t="str">
        <f t="shared" si="9"/>
        <v/>
      </c>
      <c r="B139" s="282"/>
      <c r="C139" s="228"/>
      <c r="D139" s="236"/>
      <c r="E139" s="236"/>
      <c r="F139" s="237"/>
      <c r="G139" s="239"/>
      <c r="H139" s="239"/>
      <c r="I139" s="239"/>
      <c r="J139" s="239"/>
      <c r="K139" s="239"/>
      <c r="L139" s="239"/>
      <c r="M139" s="239"/>
      <c r="N139" s="239"/>
      <c r="O139" s="87" t="s">
        <v>432</v>
      </c>
      <c r="P139" s="88">
        <v>34</v>
      </c>
      <c r="R139" s="234" t="str">
        <f t="shared" si="10"/>
        <v>NO</v>
      </c>
      <c r="S139" s="234" t="str">
        <f t="shared" si="11"/>
        <v/>
      </c>
      <c r="T139" s="234" t="str">
        <f t="shared" si="16"/>
        <v/>
      </c>
      <c r="U139" s="234" t="str">
        <f t="shared" si="12"/>
        <v>NO</v>
      </c>
      <c r="V139" s="234" t="str">
        <f t="shared" si="17"/>
        <v/>
      </c>
      <c r="W139" s="234" t="str">
        <f t="shared" si="13"/>
        <v/>
      </c>
      <c r="X139" s="234" t="str">
        <f t="shared" si="14"/>
        <v/>
      </c>
      <c r="Y139" s="234" t="str">
        <f t="shared" si="15"/>
        <v/>
      </c>
      <c r="AA139" s="235" t="s">
        <v>228</v>
      </c>
      <c r="AB139" s="213"/>
    </row>
    <row r="140" spans="1:28" x14ac:dyDescent="0.2">
      <c r="A140" s="289" t="str">
        <f t="shared" si="9"/>
        <v/>
      </c>
      <c r="B140" s="282"/>
      <c r="C140" s="228"/>
      <c r="D140" s="236"/>
      <c r="E140" s="236"/>
      <c r="F140" s="237"/>
      <c r="G140" s="239"/>
      <c r="H140" s="239"/>
      <c r="I140" s="239"/>
      <c r="J140" s="239"/>
      <c r="K140" s="239"/>
      <c r="L140" s="239"/>
      <c r="M140" s="239"/>
      <c r="N140" s="239"/>
      <c r="O140" s="87" t="s">
        <v>432</v>
      </c>
      <c r="P140" s="88">
        <v>35</v>
      </c>
      <c r="R140" s="234" t="str">
        <f t="shared" si="10"/>
        <v>NO</v>
      </c>
      <c r="S140" s="234" t="str">
        <f t="shared" si="11"/>
        <v/>
      </c>
      <c r="T140" s="234" t="str">
        <f t="shared" si="16"/>
        <v/>
      </c>
      <c r="U140" s="234" t="str">
        <f t="shared" si="12"/>
        <v>NO</v>
      </c>
      <c r="V140" s="234" t="str">
        <f t="shared" si="17"/>
        <v/>
      </c>
      <c r="W140" s="234" t="str">
        <f t="shared" si="13"/>
        <v/>
      </c>
      <c r="X140" s="234" t="str">
        <f t="shared" si="14"/>
        <v/>
      </c>
      <c r="Y140" s="234" t="str">
        <f t="shared" si="15"/>
        <v/>
      </c>
      <c r="AA140" s="235" t="s">
        <v>229</v>
      </c>
      <c r="AB140" s="213"/>
    </row>
    <row r="141" spans="1:28" x14ac:dyDescent="0.2">
      <c r="A141" s="289" t="str">
        <f t="shared" si="9"/>
        <v/>
      </c>
      <c r="B141" s="282"/>
      <c r="C141" s="228"/>
      <c r="D141" s="236"/>
      <c r="E141" s="236"/>
      <c r="F141" s="237"/>
      <c r="G141" s="239"/>
      <c r="H141" s="239"/>
      <c r="I141" s="239"/>
      <c r="J141" s="239"/>
      <c r="K141" s="239"/>
      <c r="L141" s="239"/>
      <c r="M141" s="239"/>
      <c r="N141" s="239"/>
      <c r="O141" s="87" t="s">
        <v>432</v>
      </c>
      <c r="P141" s="88">
        <v>36</v>
      </c>
      <c r="R141" s="234" t="str">
        <f t="shared" si="10"/>
        <v>NO</v>
      </c>
      <c r="S141" s="234" t="str">
        <f t="shared" si="11"/>
        <v/>
      </c>
      <c r="T141" s="234" t="str">
        <f t="shared" si="16"/>
        <v/>
      </c>
      <c r="U141" s="234" t="str">
        <f t="shared" si="12"/>
        <v>NO</v>
      </c>
      <c r="V141" s="234" t="str">
        <f t="shared" si="17"/>
        <v/>
      </c>
      <c r="W141" s="234" t="str">
        <f t="shared" si="13"/>
        <v/>
      </c>
      <c r="X141" s="234" t="str">
        <f t="shared" si="14"/>
        <v/>
      </c>
      <c r="Y141" s="234" t="str">
        <f t="shared" si="15"/>
        <v/>
      </c>
      <c r="AA141" s="235" t="s">
        <v>230</v>
      </c>
      <c r="AB141" s="213"/>
    </row>
    <row r="142" spans="1:28" x14ac:dyDescent="0.2">
      <c r="A142" s="289" t="str">
        <f t="shared" si="9"/>
        <v/>
      </c>
      <c r="B142" s="282"/>
      <c r="C142" s="228"/>
      <c r="D142" s="236"/>
      <c r="E142" s="236"/>
      <c r="F142" s="237"/>
      <c r="G142" s="239"/>
      <c r="H142" s="239"/>
      <c r="I142" s="239"/>
      <c r="J142" s="239"/>
      <c r="K142" s="239"/>
      <c r="L142" s="239"/>
      <c r="M142" s="239"/>
      <c r="N142" s="239"/>
      <c r="O142" s="87" t="s">
        <v>432</v>
      </c>
      <c r="P142" s="88">
        <v>37</v>
      </c>
      <c r="R142" s="234" t="str">
        <f t="shared" si="10"/>
        <v>NO</v>
      </c>
      <c r="S142" s="234" t="str">
        <f t="shared" si="11"/>
        <v/>
      </c>
      <c r="T142" s="234" t="str">
        <f t="shared" si="16"/>
        <v/>
      </c>
      <c r="U142" s="234" t="str">
        <f t="shared" si="12"/>
        <v>NO</v>
      </c>
      <c r="V142" s="234" t="str">
        <f t="shared" si="17"/>
        <v/>
      </c>
      <c r="W142" s="234" t="str">
        <f t="shared" si="13"/>
        <v/>
      </c>
      <c r="X142" s="234" t="str">
        <f t="shared" si="14"/>
        <v/>
      </c>
      <c r="Y142" s="234" t="str">
        <f t="shared" si="15"/>
        <v/>
      </c>
      <c r="AA142" s="235" t="s">
        <v>231</v>
      </c>
      <c r="AB142" s="213"/>
    </row>
    <row r="143" spans="1:28" x14ac:dyDescent="0.2">
      <c r="A143" s="289" t="str">
        <f t="shared" si="9"/>
        <v/>
      </c>
      <c r="B143" s="282"/>
      <c r="C143" s="228"/>
      <c r="D143" s="236"/>
      <c r="E143" s="236"/>
      <c r="F143" s="237"/>
      <c r="G143" s="239"/>
      <c r="H143" s="239"/>
      <c r="I143" s="239"/>
      <c r="J143" s="239"/>
      <c r="K143" s="239"/>
      <c r="L143" s="239"/>
      <c r="M143" s="239"/>
      <c r="N143" s="239"/>
      <c r="O143" s="87" t="s">
        <v>432</v>
      </c>
      <c r="P143" s="88">
        <v>38</v>
      </c>
      <c r="R143" s="234" t="str">
        <f t="shared" si="10"/>
        <v>NO</v>
      </c>
      <c r="S143" s="234" t="str">
        <f t="shared" si="11"/>
        <v/>
      </c>
      <c r="T143" s="234" t="str">
        <f t="shared" si="16"/>
        <v/>
      </c>
      <c r="U143" s="234" t="str">
        <f t="shared" si="12"/>
        <v>NO</v>
      </c>
      <c r="V143" s="234" t="str">
        <f t="shared" si="17"/>
        <v/>
      </c>
      <c r="W143" s="234" t="str">
        <f t="shared" si="13"/>
        <v/>
      </c>
      <c r="X143" s="234" t="str">
        <f t="shared" si="14"/>
        <v/>
      </c>
      <c r="Y143" s="234" t="str">
        <f t="shared" si="15"/>
        <v/>
      </c>
      <c r="AA143" s="235" t="s">
        <v>232</v>
      </c>
      <c r="AB143" s="213"/>
    </row>
    <row r="144" spans="1:28" x14ac:dyDescent="0.2">
      <c r="A144" s="289" t="str">
        <f t="shared" si="9"/>
        <v/>
      </c>
      <c r="B144" s="282"/>
      <c r="C144" s="228"/>
      <c r="D144" s="236"/>
      <c r="E144" s="236"/>
      <c r="F144" s="237"/>
      <c r="G144" s="239"/>
      <c r="H144" s="239"/>
      <c r="I144" s="239"/>
      <c r="J144" s="239"/>
      <c r="K144" s="239"/>
      <c r="L144" s="239"/>
      <c r="M144" s="239"/>
      <c r="N144" s="239"/>
      <c r="O144" s="87" t="s">
        <v>432</v>
      </c>
      <c r="P144" s="88">
        <v>39</v>
      </c>
      <c r="R144" s="234" t="str">
        <f t="shared" si="10"/>
        <v>NO</v>
      </c>
      <c r="S144" s="234" t="str">
        <f t="shared" si="11"/>
        <v/>
      </c>
      <c r="T144" s="234" t="str">
        <f t="shared" si="16"/>
        <v/>
      </c>
      <c r="U144" s="234" t="str">
        <f t="shared" si="12"/>
        <v>NO</v>
      </c>
      <c r="V144" s="234" t="str">
        <f t="shared" si="17"/>
        <v/>
      </c>
      <c r="W144" s="234" t="str">
        <f t="shared" si="13"/>
        <v/>
      </c>
      <c r="X144" s="234" t="str">
        <f t="shared" si="14"/>
        <v/>
      </c>
      <c r="Y144" s="234" t="str">
        <f t="shared" si="15"/>
        <v/>
      </c>
      <c r="AA144" s="235" t="s">
        <v>233</v>
      </c>
      <c r="AB144" s="213"/>
    </row>
    <row r="145" spans="1:28" x14ac:dyDescent="0.2">
      <c r="A145" s="290" t="str">
        <f t="shared" si="9"/>
        <v/>
      </c>
      <c r="B145" s="283"/>
      <c r="C145" s="228"/>
      <c r="D145" s="236"/>
      <c r="E145" s="243"/>
      <c r="F145" s="244"/>
      <c r="G145" s="246"/>
      <c r="H145" s="246"/>
      <c r="I145" s="246"/>
      <c r="J145" s="246"/>
      <c r="K145" s="246"/>
      <c r="L145" s="246"/>
      <c r="M145" s="246"/>
      <c r="N145" s="246"/>
      <c r="O145" s="87" t="s">
        <v>432</v>
      </c>
      <c r="P145" s="88">
        <v>40</v>
      </c>
      <c r="R145" s="234" t="str">
        <f t="shared" si="10"/>
        <v>NO</v>
      </c>
      <c r="S145" s="234" t="str">
        <f t="shared" si="11"/>
        <v/>
      </c>
      <c r="T145" s="234" t="str">
        <f t="shared" si="16"/>
        <v/>
      </c>
      <c r="U145" s="234" t="str">
        <f t="shared" si="12"/>
        <v>NO</v>
      </c>
      <c r="V145" s="234" t="str">
        <f t="shared" si="17"/>
        <v/>
      </c>
      <c r="W145" s="234" t="str">
        <f t="shared" si="13"/>
        <v/>
      </c>
      <c r="X145" s="234" t="str">
        <f t="shared" si="14"/>
        <v/>
      </c>
      <c r="Y145" s="234" t="str">
        <f t="shared" si="15"/>
        <v/>
      </c>
      <c r="AA145" s="235" t="s">
        <v>234</v>
      </c>
      <c r="AB145" s="213"/>
    </row>
    <row r="146" spans="1:28" ht="18.75" customHeight="1" x14ac:dyDescent="0.2">
      <c r="A146" s="514"/>
      <c r="B146" s="515"/>
      <c r="C146" s="515"/>
      <c r="D146" s="515"/>
      <c r="E146" s="515"/>
      <c r="F146" s="515"/>
      <c r="G146" s="515"/>
      <c r="H146" s="515"/>
      <c r="I146" s="515"/>
      <c r="J146" s="515"/>
      <c r="K146" s="515"/>
      <c r="L146" s="515"/>
      <c r="M146" s="516"/>
      <c r="N146" s="517"/>
      <c r="O146" s="87"/>
      <c r="P146" s="88"/>
      <c r="AB146" s="213"/>
    </row>
    <row r="147" spans="1:28" ht="12.75" hidden="1" customHeight="1" x14ac:dyDescent="0.2">
      <c r="A147" s="518" t="s">
        <v>235</v>
      </c>
      <c r="B147" s="519"/>
      <c r="C147" s="519"/>
      <c r="D147" s="519"/>
      <c r="E147" s="519"/>
      <c r="F147" s="519"/>
      <c r="G147" s="519"/>
      <c r="H147" s="519"/>
      <c r="I147" s="519"/>
      <c r="J147" s="519"/>
      <c r="K147" s="519"/>
      <c r="L147" s="519"/>
      <c r="M147" s="520"/>
      <c r="N147" s="520"/>
      <c r="O147" s="225"/>
      <c r="P147" s="88"/>
      <c r="AB147" s="213"/>
    </row>
    <row r="148" spans="1:28" ht="12.75" hidden="1" customHeight="1" x14ac:dyDescent="0.2">
      <c r="A148" s="521" t="s">
        <v>0</v>
      </c>
      <c r="B148" s="522" t="s">
        <v>125</v>
      </c>
      <c r="C148" s="523" t="s">
        <v>236</v>
      </c>
      <c r="D148" s="524" t="s">
        <v>128</v>
      </c>
      <c r="E148" s="525"/>
      <c r="F148" s="524" t="s">
        <v>129</v>
      </c>
      <c r="G148" s="525" t="s">
        <v>130</v>
      </c>
      <c r="H148" s="524" t="s">
        <v>131</v>
      </c>
      <c r="I148" s="525" t="s">
        <v>4</v>
      </c>
      <c r="J148" s="524" t="s">
        <v>5</v>
      </c>
      <c r="K148" s="525" t="s">
        <v>6</v>
      </c>
      <c r="L148" s="524" t="s">
        <v>7</v>
      </c>
      <c r="M148" s="525" t="s">
        <v>405</v>
      </c>
      <c r="N148" s="542" t="s">
        <v>87</v>
      </c>
      <c r="O148" s="87"/>
      <c r="P148" s="88"/>
      <c r="AB148" s="213"/>
    </row>
    <row r="149" spans="1:28" s="353" customFormat="1" ht="12.75" hidden="1" customHeight="1" x14ac:dyDescent="0.2">
      <c r="A149" s="526">
        <v>1</v>
      </c>
      <c r="B149" s="527" t="s">
        <v>580</v>
      </c>
      <c r="C149" s="528" t="s">
        <v>286</v>
      </c>
      <c r="D149" s="529" t="s">
        <v>346</v>
      </c>
      <c r="E149" s="530" t="s">
        <v>591</v>
      </c>
      <c r="F149" s="529" t="s">
        <v>94</v>
      </c>
      <c r="G149" s="530" t="s">
        <v>356</v>
      </c>
      <c r="H149" s="529">
        <v>2</v>
      </c>
      <c r="I149" s="530">
        <v>5</v>
      </c>
      <c r="J149" s="529">
        <v>6</v>
      </c>
      <c r="K149" s="530">
        <v>7</v>
      </c>
      <c r="L149" s="529">
        <v>7</v>
      </c>
      <c r="M149" s="530" t="s">
        <v>582</v>
      </c>
      <c r="N149" s="542" t="s">
        <v>592</v>
      </c>
      <c r="O149" s="266"/>
      <c r="P149" s="227"/>
      <c r="Q149" s="267"/>
      <c r="R149" s="267"/>
      <c r="S149" s="267"/>
      <c r="T149" s="267"/>
      <c r="U149" s="267"/>
      <c r="V149" s="267"/>
      <c r="W149" s="267"/>
      <c r="X149" s="267"/>
      <c r="Y149" s="267"/>
      <c r="Z149" s="267"/>
      <c r="AA149" s="267"/>
      <c r="AB149" s="213"/>
    </row>
    <row r="150" spans="1:28" s="353" customFormat="1" ht="12.75" hidden="1" customHeight="1" x14ac:dyDescent="0.2">
      <c r="A150" s="526">
        <v>2</v>
      </c>
      <c r="B150" s="527"/>
      <c r="C150" s="528"/>
      <c r="D150" s="531"/>
      <c r="E150" s="532"/>
      <c r="F150" s="531"/>
      <c r="G150" s="532"/>
      <c r="H150" s="531"/>
      <c r="I150" s="532"/>
      <c r="J150" s="531"/>
      <c r="K150" s="532"/>
      <c r="L150" s="531"/>
      <c r="M150" s="532"/>
      <c r="N150" s="542"/>
      <c r="O150" s="266"/>
      <c r="P150" s="227"/>
      <c r="Q150" s="267"/>
      <c r="R150" s="267"/>
      <c r="S150" s="267"/>
      <c r="T150" s="267"/>
      <c r="U150" s="267"/>
      <c r="V150" s="267"/>
      <c r="W150" s="267"/>
      <c r="X150" s="267"/>
      <c r="Y150" s="267"/>
      <c r="Z150" s="267"/>
      <c r="AA150" s="267"/>
      <c r="AB150" s="214"/>
    </row>
    <row r="151" spans="1:28" s="353" customFormat="1" ht="12.75" hidden="1" customHeight="1" x14ac:dyDescent="0.2">
      <c r="A151" s="526">
        <v>3</v>
      </c>
      <c r="B151" s="527"/>
      <c r="C151" s="528"/>
      <c r="D151" s="531"/>
      <c r="E151" s="532"/>
      <c r="F151" s="531"/>
      <c r="G151" s="532"/>
      <c r="H151" s="531"/>
      <c r="I151" s="532"/>
      <c r="J151" s="531"/>
      <c r="K151" s="532"/>
      <c r="L151" s="531"/>
      <c r="M151" s="532"/>
      <c r="N151" s="542"/>
      <c r="O151" s="266"/>
      <c r="P151" s="227"/>
      <c r="Q151" s="267"/>
      <c r="R151" s="267"/>
      <c r="S151" s="267"/>
      <c r="T151" s="267"/>
      <c r="U151" s="267"/>
      <c r="V151" s="267"/>
      <c r="W151" s="267"/>
      <c r="X151" s="267"/>
      <c r="Y151" s="267"/>
      <c r="Z151" s="267"/>
      <c r="AA151" s="267"/>
      <c r="AB151" s="214"/>
    </row>
    <row r="152" spans="1:28" s="353" customFormat="1" ht="12.75" hidden="1" customHeight="1" x14ac:dyDescent="0.2">
      <c r="A152" s="526">
        <v>4</v>
      </c>
      <c r="B152" s="527"/>
      <c r="C152" s="528"/>
      <c r="D152" s="531"/>
      <c r="E152" s="532"/>
      <c r="F152" s="531"/>
      <c r="G152" s="532"/>
      <c r="H152" s="531"/>
      <c r="I152" s="532"/>
      <c r="J152" s="531"/>
      <c r="K152" s="532"/>
      <c r="L152" s="531"/>
      <c r="M152" s="532"/>
      <c r="N152" s="542"/>
      <c r="O152" s="266"/>
      <c r="P152" s="227"/>
      <c r="Q152" s="267"/>
      <c r="R152" s="267"/>
      <c r="S152" s="267"/>
      <c r="T152" s="267"/>
      <c r="U152" s="267"/>
      <c r="V152" s="267"/>
      <c r="W152" s="267"/>
      <c r="X152" s="267"/>
      <c r="Y152" s="267"/>
      <c r="Z152" s="267"/>
      <c r="AA152" s="267"/>
      <c r="AB152" s="214"/>
    </row>
    <row r="153" spans="1:28" s="353" customFormat="1" ht="12.75" hidden="1" customHeight="1" x14ac:dyDescent="0.2">
      <c r="A153" s="526">
        <v>5</v>
      </c>
      <c r="B153" s="527"/>
      <c r="C153" s="528"/>
      <c r="D153" s="531"/>
      <c r="E153" s="532"/>
      <c r="F153" s="531"/>
      <c r="G153" s="532"/>
      <c r="H153" s="531"/>
      <c r="I153" s="532"/>
      <c r="J153" s="531"/>
      <c r="K153" s="532"/>
      <c r="L153" s="531"/>
      <c r="M153" s="532"/>
      <c r="N153" s="542"/>
      <c r="O153" s="266"/>
      <c r="P153" s="227"/>
      <c r="Q153" s="267"/>
      <c r="R153" s="267"/>
      <c r="S153" s="267"/>
      <c r="T153" s="267"/>
      <c r="U153" s="267"/>
      <c r="V153" s="267"/>
      <c r="W153" s="267"/>
      <c r="X153" s="267"/>
      <c r="Y153" s="267"/>
      <c r="Z153" s="267"/>
      <c r="AA153" s="267"/>
      <c r="AB153" s="214"/>
    </row>
    <row r="154" spans="1:28" s="353" customFormat="1" ht="12.75" hidden="1" customHeight="1" x14ac:dyDescent="0.2">
      <c r="A154" s="526">
        <v>6</v>
      </c>
      <c r="B154" s="527"/>
      <c r="C154" s="528"/>
      <c r="D154" s="531"/>
      <c r="E154" s="532"/>
      <c r="F154" s="531"/>
      <c r="G154" s="532"/>
      <c r="H154" s="531"/>
      <c r="I154" s="532"/>
      <c r="J154" s="531"/>
      <c r="K154" s="532"/>
      <c r="L154" s="531"/>
      <c r="M154" s="532"/>
      <c r="N154" s="542"/>
      <c r="O154" s="266"/>
      <c r="P154" s="227"/>
      <c r="Q154" s="267"/>
      <c r="R154" s="267"/>
      <c r="S154" s="267"/>
      <c r="T154" s="267"/>
      <c r="U154" s="267"/>
      <c r="V154" s="267"/>
      <c r="W154" s="267"/>
      <c r="X154" s="267"/>
      <c r="Y154" s="267"/>
      <c r="Z154" s="267"/>
      <c r="AA154" s="267"/>
      <c r="AB154" s="213"/>
    </row>
    <row r="155" spans="1:28" s="353" customFormat="1" ht="12.75" hidden="1" customHeight="1" x14ac:dyDescent="0.2">
      <c r="A155" s="526">
        <v>7</v>
      </c>
      <c r="B155" s="527"/>
      <c r="C155" s="528"/>
      <c r="D155" s="531"/>
      <c r="E155" s="532"/>
      <c r="F155" s="531"/>
      <c r="G155" s="532"/>
      <c r="H155" s="531"/>
      <c r="I155" s="532"/>
      <c r="J155" s="531"/>
      <c r="K155" s="532"/>
      <c r="L155" s="531"/>
      <c r="M155" s="532"/>
      <c r="N155" s="542"/>
      <c r="O155" s="266"/>
      <c r="P155" s="227"/>
      <c r="Q155" s="267"/>
      <c r="R155" s="267"/>
      <c r="S155" s="267"/>
      <c r="T155" s="267"/>
      <c r="U155" s="267"/>
      <c r="V155" s="267"/>
      <c r="W155" s="267"/>
      <c r="X155" s="267"/>
      <c r="Y155" s="267"/>
      <c r="Z155" s="267"/>
      <c r="AA155" s="267"/>
      <c r="AB155" s="213"/>
    </row>
    <row r="156" spans="1:28" s="353" customFormat="1" ht="12.75" hidden="1" customHeight="1" x14ac:dyDescent="0.2">
      <c r="A156" s="526">
        <v>8</v>
      </c>
      <c r="B156" s="527"/>
      <c r="C156" s="528"/>
      <c r="D156" s="531"/>
      <c r="E156" s="532"/>
      <c r="F156" s="531"/>
      <c r="G156" s="532"/>
      <c r="H156" s="531"/>
      <c r="I156" s="532"/>
      <c r="J156" s="531"/>
      <c r="K156" s="532"/>
      <c r="L156" s="531"/>
      <c r="M156" s="532"/>
      <c r="N156" s="542"/>
      <c r="O156" s="266"/>
      <c r="P156" s="227"/>
      <c r="Q156" s="267"/>
      <c r="R156" s="267"/>
      <c r="S156" s="267"/>
      <c r="T156" s="267"/>
      <c r="U156" s="267"/>
      <c r="V156" s="267"/>
      <c r="W156" s="267"/>
      <c r="X156" s="267"/>
      <c r="Y156" s="267"/>
      <c r="Z156" s="267"/>
      <c r="AA156" s="267"/>
      <c r="AB156" s="213"/>
    </row>
    <row r="157" spans="1:28" s="353" customFormat="1" ht="12.75" hidden="1" customHeight="1" x14ac:dyDescent="0.2">
      <c r="A157" s="526">
        <v>9</v>
      </c>
      <c r="B157" s="527"/>
      <c r="C157" s="528"/>
      <c r="D157" s="531"/>
      <c r="E157" s="532"/>
      <c r="F157" s="531"/>
      <c r="G157" s="532"/>
      <c r="H157" s="531"/>
      <c r="I157" s="532"/>
      <c r="J157" s="531"/>
      <c r="K157" s="532"/>
      <c r="L157" s="531"/>
      <c r="M157" s="532"/>
      <c r="N157" s="542"/>
      <c r="O157" s="266"/>
      <c r="P157" s="227"/>
      <c r="Q157" s="267"/>
      <c r="R157" s="267"/>
      <c r="S157" s="267"/>
      <c r="T157" s="267"/>
      <c r="U157" s="267"/>
      <c r="V157" s="267"/>
      <c r="W157" s="267"/>
      <c r="X157" s="267"/>
      <c r="Y157" s="267"/>
      <c r="Z157" s="267"/>
      <c r="AA157" s="267"/>
      <c r="AB157" s="213"/>
    </row>
    <row r="158" spans="1:28" s="353" customFormat="1" ht="12.75" hidden="1" customHeight="1" x14ac:dyDescent="0.2">
      <c r="A158" s="526">
        <v>10</v>
      </c>
      <c r="B158" s="527"/>
      <c r="C158" s="528"/>
      <c r="D158" s="531"/>
      <c r="E158" s="532"/>
      <c r="F158" s="531"/>
      <c r="G158" s="532"/>
      <c r="H158" s="531"/>
      <c r="I158" s="532"/>
      <c r="J158" s="531"/>
      <c r="K158" s="532"/>
      <c r="L158" s="531"/>
      <c r="M158" s="532"/>
      <c r="N158" s="542"/>
      <c r="O158" s="266"/>
      <c r="P158" s="227"/>
      <c r="Q158" s="267"/>
      <c r="R158" s="267"/>
      <c r="S158" s="267"/>
      <c r="T158" s="267"/>
      <c r="U158" s="267"/>
      <c r="V158" s="267"/>
      <c r="W158" s="267"/>
      <c r="X158" s="267"/>
      <c r="Y158" s="267"/>
      <c r="Z158" s="267"/>
      <c r="AA158" s="267"/>
      <c r="AB158" s="213"/>
    </row>
    <row r="159" spans="1:28" s="353" customFormat="1" ht="12.75" hidden="1" customHeight="1" x14ac:dyDescent="0.2">
      <c r="A159" s="526">
        <v>11</v>
      </c>
      <c r="B159" s="527"/>
      <c r="C159" s="528"/>
      <c r="D159" s="531"/>
      <c r="E159" s="532"/>
      <c r="F159" s="531"/>
      <c r="G159" s="532"/>
      <c r="H159" s="531"/>
      <c r="I159" s="532"/>
      <c r="J159" s="531"/>
      <c r="K159" s="532"/>
      <c r="L159" s="531"/>
      <c r="M159" s="532"/>
      <c r="N159" s="542"/>
      <c r="O159" s="266"/>
      <c r="P159" s="227"/>
      <c r="Q159" s="267"/>
      <c r="R159" s="267"/>
      <c r="S159" s="267"/>
      <c r="T159" s="267"/>
      <c r="U159" s="267"/>
      <c r="V159" s="267"/>
      <c r="W159" s="267"/>
      <c r="X159" s="267"/>
      <c r="Y159" s="267"/>
      <c r="Z159" s="267"/>
      <c r="AA159" s="267"/>
      <c r="AB159" s="213"/>
    </row>
    <row r="160" spans="1:28" s="353" customFormat="1" ht="12.75" hidden="1" customHeight="1" x14ac:dyDescent="0.2">
      <c r="A160" s="526">
        <v>12</v>
      </c>
      <c r="B160" s="527"/>
      <c r="C160" s="528"/>
      <c r="D160" s="531"/>
      <c r="E160" s="532"/>
      <c r="F160" s="531"/>
      <c r="G160" s="532"/>
      <c r="H160" s="531"/>
      <c r="I160" s="532"/>
      <c r="J160" s="531"/>
      <c r="K160" s="532"/>
      <c r="L160" s="531"/>
      <c r="M160" s="532"/>
      <c r="N160" s="542"/>
      <c r="O160" s="266"/>
      <c r="P160" s="227"/>
      <c r="Q160" s="267"/>
      <c r="R160" s="267"/>
      <c r="S160" s="267"/>
      <c r="T160" s="267"/>
      <c r="U160" s="267"/>
      <c r="V160" s="267"/>
      <c r="W160" s="267"/>
      <c r="X160" s="267"/>
      <c r="Y160" s="267"/>
      <c r="Z160" s="267"/>
      <c r="AA160" s="267"/>
      <c r="AB160" s="214"/>
    </row>
    <row r="161" spans="1:28" s="353" customFormat="1" ht="12.75" hidden="1" customHeight="1" x14ac:dyDescent="0.2">
      <c r="A161" s="526">
        <v>13</v>
      </c>
      <c r="B161" s="527"/>
      <c r="C161" s="528"/>
      <c r="D161" s="531"/>
      <c r="E161" s="532"/>
      <c r="F161" s="531"/>
      <c r="G161" s="532"/>
      <c r="H161" s="531"/>
      <c r="I161" s="532"/>
      <c r="J161" s="531"/>
      <c r="K161" s="532"/>
      <c r="L161" s="531"/>
      <c r="M161" s="532"/>
      <c r="N161" s="542"/>
      <c r="O161" s="266"/>
      <c r="P161" s="227"/>
      <c r="Q161" s="267"/>
      <c r="R161" s="267"/>
      <c r="S161" s="267"/>
      <c r="T161" s="267"/>
      <c r="U161" s="267"/>
      <c r="V161" s="267"/>
      <c r="W161" s="267"/>
      <c r="X161" s="267"/>
      <c r="Y161" s="267"/>
      <c r="Z161" s="267"/>
      <c r="AA161" s="267"/>
      <c r="AB161" s="214"/>
    </row>
    <row r="162" spans="1:28" s="353" customFormat="1" ht="12.75" hidden="1" customHeight="1" x14ac:dyDescent="0.2">
      <c r="A162" s="526">
        <v>14</v>
      </c>
      <c r="B162" s="527"/>
      <c r="C162" s="528"/>
      <c r="D162" s="531"/>
      <c r="E162" s="532"/>
      <c r="F162" s="531"/>
      <c r="G162" s="532"/>
      <c r="H162" s="531"/>
      <c r="I162" s="532"/>
      <c r="J162" s="531"/>
      <c r="K162" s="532"/>
      <c r="L162" s="531"/>
      <c r="M162" s="532"/>
      <c r="N162" s="542"/>
      <c r="O162" s="266"/>
      <c r="P162" s="227"/>
      <c r="Q162" s="267"/>
      <c r="R162" s="267"/>
      <c r="S162" s="267"/>
      <c r="T162" s="267"/>
      <c r="U162" s="267"/>
      <c r="V162" s="267"/>
      <c r="W162" s="267"/>
      <c r="X162" s="267"/>
      <c r="Y162" s="267"/>
      <c r="Z162" s="267"/>
      <c r="AA162" s="267"/>
      <c r="AB162" s="213"/>
    </row>
    <row r="163" spans="1:28" s="353" customFormat="1" ht="12.75" hidden="1" customHeight="1" x14ac:dyDescent="0.2">
      <c r="A163" s="526">
        <v>15</v>
      </c>
      <c r="B163" s="527"/>
      <c r="C163" s="528"/>
      <c r="D163" s="531"/>
      <c r="E163" s="532"/>
      <c r="F163" s="531"/>
      <c r="G163" s="532"/>
      <c r="H163" s="531"/>
      <c r="I163" s="532"/>
      <c r="J163" s="531"/>
      <c r="K163" s="532"/>
      <c r="L163" s="531"/>
      <c r="M163" s="532"/>
      <c r="N163" s="542"/>
      <c r="O163" s="266"/>
      <c r="P163" s="227"/>
      <c r="Q163" s="267"/>
      <c r="R163" s="267"/>
      <c r="S163" s="267"/>
      <c r="T163" s="267"/>
      <c r="U163" s="267"/>
      <c r="V163" s="267"/>
      <c r="W163" s="267"/>
      <c r="X163" s="267"/>
      <c r="Y163" s="267"/>
      <c r="Z163" s="267"/>
      <c r="AA163" s="267"/>
      <c r="AB163" s="213"/>
    </row>
    <row r="164" spans="1:28" s="353" customFormat="1" ht="12.75" hidden="1" customHeight="1" x14ac:dyDescent="0.2">
      <c r="A164" s="526">
        <v>16</v>
      </c>
      <c r="B164" s="527"/>
      <c r="C164" s="528"/>
      <c r="D164" s="531"/>
      <c r="E164" s="532"/>
      <c r="F164" s="531"/>
      <c r="G164" s="532"/>
      <c r="H164" s="531"/>
      <c r="I164" s="532"/>
      <c r="J164" s="531"/>
      <c r="K164" s="532"/>
      <c r="L164" s="531"/>
      <c r="M164" s="532"/>
      <c r="N164" s="542"/>
      <c r="O164" s="266"/>
      <c r="P164" s="227"/>
      <c r="Q164" s="267"/>
      <c r="R164" s="267"/>
      <c r="S164" s="267"/>
      <c r="T164" s="267"/>
      <c r="U164" s="267"/>
      <c r="V164" s="267"/>
      <c r="W164" s="267"/>
      <c r="X164" s="267"/>
      <c r="Y164" s="267"/>
      <c r="Z164" s="267"/>
      <c r="AA164" s="267"/>
      <c r="AB164" s="213"/>
    </row>
    <row r="165" spans="1:28" s="353" customFormat="1" ht="12.75" hidden="1" customHeight="1" x14ac:dyDescent="0.2">
      <c r="A165" s="526">
        <v>17</v>
      </c>
      <c r="B165" s="527"/>
      <c r="C165" s="528"/>
      <c r="D165" s="531"/>
      <c r="E165" s="532"/>
      <c r="F165" s="531"/>
      <c r="G165" s="532"/>
      <c r="H165" s="531"/>
      <c r="I165" s="532"/>
      <c r="J165" s="531"/>
      <c r="K165" s="532"/>
      <c r="L165" s="531"/>
      <c r="M165" s="532"/>
      <c r="N165" s="542"/>
      <c r="O165" s="266"/>
      <c r="P165" s="227"/>
      <c r="Q165" s="267"/>
      <c r="R165" s="267"/>
      <c r="S165" s="267"/>
      <c r="T165" s="267"/>
      <c r="U165" s="267"/>
      <c r="V165" s="267"/>
      <c r="W165" s="267"/>
      <c r="X165" s="267"/>
      <c r="Y165" s="267"/>
      <c r="Z165" s="267"/>
      <c r="AA165" s="267"/>
      <c r="AB165" s="213"/>
    </row>
    <row r="166" spans="1:28" s="353" customFormat="1" ht="12.75" hidden="1" customHeight="1" x14ac:dyDescent="0.2">
      <c r="A166" s="526">
        <v>18</v>
      </c>
      <c r="B166" s="527"/>
      <c r="C166" s="528"/>
      <c r="D166" s="531"/>
      <c r="E166" s="532"/>
      <c r="F166" s="531"/>
      <c r="G166" s="532"/>
      <c r="H166" s="531"/>
      <c r="I166" s="532"/>
      <c r="J166" s="531"/>
      <c r="K166" s="532"/>
      <c r="L166" s="531"/>
      <c r="M166" s="532"/>
      <c r="N166" s="542"/>
      <c r="O166" s="266"/>
      <c r="P166" s="227"/>
      <c r="Q166" s="267"/>
      <c r="R166" s="267"/>
      <c r="S166" s="267"/>
      <c r="T166" s="267"/>
      <c r="U166" s="267"/>
      <c r="V166" s="267"/>
      <c r="W166" s="267"/>
      <c r="X166" s="267"/>
      <c r="Y166" s="267"/>
      <c r="Z166" s="267"/>
      <c r="AA166" s="267"/>
      <c r="AB166" s="213"/>
    </row>
    <row r="167" spans="1:28" s="353" customFormat="1" ht="12.75" hidden="1" customHeight="1" x14ac:dyDescent="0.2">
      <c r="A167" s="526">
        <v>19</v>
      </c>
      <c r="B167" s="527"/>
      <c r="C167" s="528"/>
      <c r="D167" s="531"/>
      <c r="E167" s="532"/>
      <c r="F167" s="531"/>
      <c r="G167" s="532"/>
      <c r="H167" s="531"/>
      <c r="I167" s="532"/>
      <c r="J167" s="531"/>
      <c r="K167" s="532"/>
      <c r="L167" s="531"/>
      <c r="M167" s="532"/>
      <c r="N167" s="542"/>
      <c r="O167" s="266"/>
      <c r="P167" s="227"/>
      <c r="Q167" s="267"/>
      <c r="R167" s="267"/>
      <c r="S167" s="267"/>
      <c r="T167" s="267"/>
      <c r="U167" s="267"/>
      <c r="V167" s="267"/>
      <c r="W167" s="267"/>
      <c r="X167" s="267"/>
      <c r="Y167" s="267"/>
      <c r="Z167" s="267"/>
      <c r="AA167" s="267"/>
      <c r="AB167" s="213"/>
    </row>
    <row r="168" spans="1:28" s="353" customFormat="1" ht="12.75" hidden="1" customHeight="1" x14ac:dyDescent="0.2">
      <c r="A168" s="526">
        <v>20</v>
      </c>
      <c r="B168" s="527"/>
      <c r="C168" s="528"/>
      <c r="D168" s="531"/>
      <c r="E168" s="532"/>
      <c r="F168" s="531"/>
      <c r="G168" s="532"/>
      <c r="H168" s="531"/>
      <c r="I168" s="532"/>
      <c r="J168" s="531"/>
      <c r="K168" s="532"/>
      <c r="L168" s="531"/>
      <c r="M168" s="532"/>
      <c r="N168" s="542"/>
      <c r="O168" s="266"/>
      <c r="P168" s="227"/>
      <c r="Q168" s="267"/>
      <c r="R168" s="267"/>
      <c r="S168" s="267"/>
      <c r="T168" s="267"/>
      <c r="U168" s="267"/>
      <c r="V168" s="267"/>
      <c r="W168" s="267"/>
      <c r="X168" s="267"/>
      <c r="Y168" s="267"/>
      <c r="Z168" s="267"/>
      <c r="AA168" s="267"/>
      <c r="AB168" s="213"/>
    </row>
    <row r="169" spans="1:28" s="353" customFormat="1" ht="12.75" hidden="1" customHeight="1" x14ac:dyDescent="0.2">
      <c r="A169" s="526">
        <v>21</v>
      </c>
      <c r="B169" s="527"/>
      <c r="C169" s="528"/>
      <c r="D169" s="531"/>
      <c r="E169" s="532"/>
      <c r="F169" s="531"/>
      <c r="G169" s="532"/>
      <c r="H169" s="531"/>
      <c r="I169" s="532"/>
      <c r="J169" s="531"/>
      <c r="K169" s="532"/>
      <c r="L169" s="531"/>
      <c r="M169" s="532"/>
      <c r="N169" s="542"/>
      <c r="O169" s="266"/>
      <c r="P169" s="227"/>
      <c r="Q169" s="267"/>
      <c r="R169" s="267"/>
      <c r="S169" s="267"/>
      <c r="T169" s="267"/>
      <c r="U169" s="267"/>
      <c r="V169" s="267"/>
      <c r="W169" s="267"/>
      <c r="X169" s="267"/>
      <c r="Y169" s="267"/>
      <c r="Z169" s="267"/>
      <c r="AA169" s="267"/>
      <c r="AB169" s="213"/>
    </row>
    <row r="170" spans="1:28" s="353" customFormat="1" ht="12.75" hidden="1" customHeight="1" x14ac:dyDescent="0.2">
      <c r="A170" s="526">
        <v>22</v>
      </c>
      <c r="B170" s="527"/>
      <c r="C170" s="528"/>
      <c r="D170" s="531"/>
      <c r="E170" s="532"/>
      <c r="F170" s="531"/>
      <c r="G170" s="532"/>
      <c r="H170" s="531"/>
      <c r="I170" s="532"/>
      <c r="J170" s="531"/>
      <c r="K170" s="532"/>
      <c r="L170" s="531"/>
      <c r="M170" s="532"/>
      <c r="N170" s="542"/>
      <c r="O170" s="266"/>
      <c r="P170" s="227"/>
      <c r="Q170" s="267"/>
      <c r="R170" s="267"/>
      <c r="S170" s="267"/>
      <c r="T170" s="267"/>
      <c r="U170" s="267"/>
      <c r="V170" s="267"/>
      <c r="W170" s="267"/>
      <c r="X170" s="267"/>
      <c r="Y170" s="267"/>
      <c r="Z170" s="267"/>
      <c r="AA170" s="267"/>
      <c r="AB170" s="213"/>
    </row>
    <row r="171" spans="1:28" s="353" customFormat="1" ht="12.75" hidden="1" customHeight="1" x14ac:dyDescent="0.2">
      <c r="A171" s="526">
        <v>23</v>
      </c>
      <c r="B171" s="527"/>
      <c r="C171" s="528"/>
      <c r="D171" s="531"/>
      <c r="E171" s="532"/>
      <c r="F171" s="531"/>
      <c r="G171" s="532"/>
      <c r="H171" s="531"/>
      <c r="I171" s="532"/>
      <c r="J171" s="531"/>
      <c r="K171" s="532"/>
      <c r="L171" s="531"/>
      <c r="M171" s="532"/>
      <c r="N171" s="542"/>
      <c r="O171" s="266"/>
      <c r="P171" s="227"/>
      <c r="Q171" s="267"/>
      <c r="R171" s="267"/>
      <c r="S171" s="267"/>
      <c r="T171" s="267"/>
      <c r="U171" s="267"/>
      <c r="V171" s="267"/>
      <c r="W171" s="267"/>
      <c r="X171" s="267"/>
      <c r="Y171" s="267"/>
      <c r="Z171" s="267"/>
      <c r="AA171" s="267"/>
      <c r="AB171" s="213"/>
    </row>
    <row r="172" spans="1:28" s="353" customFormat="1" ht="12.75" hidden="1" customHeight="1" x14ac:dyDescent="0.2">
      <c r="A172" s="526">
        <v>24</v>
      </c>
      <c r="B172" s="527"/>
      <c r="C172" s="528"/>
      <c r="D172" s="531"/>
      <c r="E172" s="532"/>
      <c r="F172" s="531"/>
      <c r="G172" s="532"/>
      <c r="H172" s="531"/>
      <c r="I172" s="532"/>
      <c r="J172" s="531"/>
      <c r="K172" s="532"/>
      <c r="L172" s="531"/>
      <c r="M172" s="532"/>
      <c r="N172" s="542"/>
      <c r="O172" s="266"/>
      <c r="P172" s="227"/>
      <c r="Q172" s="267"/>
      <c r="R172" s="267"/>
      <c r="S172" s="267"/>
      <c r="T172" s="267"/>
      <c r="U172" s="267"/>
      <c r="V172" s="267"/>
      <c r="W172" s="267"/>
      <c r="X172" s="267"/>
      <c r="Y172" s="267"/>
      <c r="Z172" s="267"/>
      <c r="AA172" s="267"/>
      <c r="AB172" s="213"/>
    </row>
    <row r="173" spans="1:28" s="353" customFormat="1" ht="12.75" hidden="1" customHeight="1" x14ac:dyDescent="0.2">
      <c r="A173" s="526">
        <v>25</v>
      </c>
      <c r="B173" s="527"/>
      <c r="C173" s="528"/>
      <c r="D173" s="531"/>
      <c r="E173" s="532"/>
      <c r="F173" s="531"/>
      <c r="G173" s="532"/>
      <c r="H173" s="531"/>
      <c r="I173" s="532"/>
      <c r="J173" s="531"/>
      <c r="K173" s="532"/>
      <c r="L173" s="531"/>
      <c r="M173" s="532"/>
      <c r="N173" s="542"/>
      <c r="O173" s="266"/>
      <c r="P173" s="227"/>
      <c r="Q173" s="267"/>
      <c r="R173" s="267"/>
      <c r="S173" s="267"/>
      <c r="T173" s="267"/>
      <c r="U173" s="267"/>
      <c r="V173" s="267"/>
      <c r="W173" s="267"/>
      <c r="X173" s="267"/>
      <c r="Y173" s="267"/>
      <c r="Z173" s="267"/>
      <c r="AA173" s="267"/>
      <c r="AB173" s="213"/>
    </row>
    <row r="174" spans="1:28" s="353" customFormat="1" ht="12.75" hidden="1" customHeight="1" x14ac:dyDescent="0.2">
      <c r="A174" s="526">
        <v>26</v>
      </c>
      <c r="B174" s="527"/>
      <c r="C174" s="528"/>
      <c r="D174" s="531"/>
      <c r="E174" s="532"/>
      <c r="F174" s="531"/>
      <c r="G174" s="532"/>
      <c r="H174" s="531"/>
      <c r="I174" s="532"/>
      <c r="J174" s="531"/>
      <c r="K174" s="532"/>
      <c r="L174" s="531"/>
      <c r="M174" s="532"/>
      <c r="N174" s="542"/>
      <c r="O174" s="266"/>
      <c r="P174" s="227"/>
      <c r="Q174" s="267"/>
      <c r="R174" s="267"/>
      <c r="S174" s="267"/>
      <c r="T174" s="267"/>
      <c r="U174" s="267"/>
      <c r="V174" s="267"/>
      <c r="W174" s="267"/>
      <c r="X174" s="267"/>
      <c r="Y174" s="267"/>
      <c r="Z174" s="267"/>
      <c r="AA174" s="267"/>
      <c r="AB174" s="213"/>
    </row>
    <row r="175" spans="1:28" s="353" customFormat="1" ht="12.75" hidden="1" customHeight="1" x14ac:dyDescent="0.2">
      <c r="A175" s="526">
        <v>27</v>
      </c>
      <c r="B175" s="527"/>
      <c r="C175" s="528"/>
      <c r="D175" s="531"/>
      <c r="E175" s="532"/>
      <c r="F175" s="531"/>
      <c r="G175" s="532"/>
      <c r="H175" s="531"/>
      <c r="I175" s="532"/>
      <c r="J175" s="531"/>
      <c r="K175" s="532"/>
      <c r="L175" s="531"/>
      <c r="M175" s="532"/>
      <c r="N175" s="542"/>
      <c r="O175" s="266"/>
      <c r="P175" s="227"/>
      <c r="Q175" s="267"/>
      <c r="R175" s="267"/>
      <c r="S175" s="267"/>
      <c r="T175" s="267"/>
      <c r="U175" s="267"/>
      <c r="V175" s="267"/>
      <c r="W175" s="267"/>
      <c r="X175" s="267"/>
      <c r="Y175" s="267"/>
      <c r="Z175" s="267"/>
      <c r="AA175" s="267"/>
      <c r="AB175" s="213"/>
    </row>
    <row r="176" spans="1:28" s="353" customFormat="1" ht="12.75" hidden="1" customHeight="1" x14ac:dyDescent="0.2">
      <c r="A176" s="526">
        <v>28</v>
      </c>
      <c r="B176" s="527"/>
      <c r="C176" s="528"/>
      <c r="D176" s="531"/>
      <c r="E176" s="532"/>
      <c r="F176" s="531"/>
      <c r="G176" s="532"/>
      <c r="H176" s="531"/>
      <c r="I176" s="532"/>
      <c r="J176" s="531"/>
      <c r="K176" s="532"/>
      <c r="L176" s="531"/>
      <c r="M176" s="532"/>
      <c r="N176" s="542"/>
      <c r="O176" s="266"/>
      <c r="P176" s="227"/>
      <c r="Q176" s="267"/>
      <c r="R176" s="267"/>
      <c r="S176" s="267"/>
      <c r="T176" s="267"/>
      <c r="U176" s="267"/>
      <c r="V176" s="267"/>
      <c r="W176" s="267"/>
      <c r="X176" s="267"/>
      <c r="Y176" s="267"/>
      <c r="Z176" s="267"/>
      <c r="AA176" s="267"/>
      <c r="AB176" s="213"/>
    </row>
    <row r="177" spans="1:28" s="353" customFormat="1" ht="12.75" hidden="1" customHeight="1" x14ac:dyDescent="0.2">
      <c r="A177" s="526">
        <v>29</v>
      </c>
      <c r="B177" s="527"/>
      <c r="C177" s="528"/>
      <c r="D177" s="531"/>
      <c r="E177" s="532"/>
      <c r="F177" s="531"/>
      <c r="G177" s="532"/>
      <c r="H177" s="531"/>
      <c r="I177" s="532"/>
      <c r="J177" s="531"/>
      <c r="K177" s="532"/>
      <c r="L177" s="531"/>
      <c r="M177" s="532"/>
      <c r="N177" s="542"/>
      <c r="O177" s="266"/>
      <c r="P177" s="227"/>
      <c r="Q177" s="267"/>
      <c r="R177" s="267"/>
      <c r="S177" s="267"/>
      <c r="T177" s="267"/>
      <c r="U177" s="267"/>
      <c r="V177" s="267"/>
      <c r="W177" s="267"/>
      <c r="X177" s="267"/>
      <c r="Y177" s="267"/>
      <c r="Z177" s="267"/>
      <c r="AA177" s="267"/>
      <c r="AB177" s="213"/>
    </row>
    <row r="178" spans="1:28" s="353" customFormat="1" ht="12.75" hidden="1" customHeight="1" x14ac:dyDescent="0.2">
      <c r="A178" s="533">
        <v>30</v>
      </c>
      <c r="B178" s="534"/>
      <c r="C178" s="535"/>
      <c r="D178" s="531"/>
      <c r="E178" s="532"/>
      <c r="F178" s="531"/>
      <c r="G178" s="532"/>
      <c r="H178" s="531"/>
      <c r="I178" s="532"/>
      <c r="J178" s="531"/>
      <c r="K178" s="532"/>
      <c r="L178" s="531"/>
      <c r="M178" s="532"/>
      <c r="N178" s="542"/>
      <c r="O178" s="266"/>
      <c r="P178" s="227"/>
      <c r="Q178" s="267"/>
      <c r="R178" s="267"/>
      <c r="S178" s="267"/>
      <c r="T178" s="267"/>
      <c r="U178" s="267"/>
      <c r="V178" s="267"/>
      <c r="W178" s="267"/>
      <c r="X178" s="267"/>
      <c r="Y178" s="267"/>
      <c r="Z178" s="267"/>
      <c r="AA178" s="267"/>
      <c r="AB178" s="213"/>
    </row>
    <row r="179" spans="1:28" s="353" customFormat="1" ht="12.75" hidden="1" customHeight="1" x14ac:dyDescent="0.2">
      <c r="A179" s="533">
        <v>31</v>
      </c>
      <c r="B179" s="534"/>
      <c r="C179" s="535"/>
      <c r="D179" s="531"/>
      <c r="E179" s="532"/>
      <c r="F179" s="531"/>
      <c r="G179" s="532"/>
      <c r="H179" s="531"/>
      <c r="I179" s="532"/>
      <c r="J179" s="531"/>
      <c r="K179" s="532"/>
      <c r="L179" s="531"/>
      <c r="M179" s="532"/>
      <c r="N179" s="542"/>
      <c r="O179" s="266"/>
      <c r="P179" s="227"/>
      <c r="Q179" s="267"/>
      <c r="R179" s="267"/>
      <c r="S179" s="267"/>
      <c r="T179" s="267"/>
      <c r="U179" s="267"/>
      <c r="V179" s="267"/>
      <c r="W179" s="267"/>
      <c r="X179" s="267"/>
      <c r="Y179" s="267"/>
      <c r="Z179" s="267"/>
      <c r="AA179" s="267"/>
      <c r="AB179" s="213"/>
    </row>
    <row r="180" spans="1:28" s="353" customFormat="1" ht="12.75" hidden="1" customHeight="1" x14ac:dyDescent="0.2">
      <c r="A180" s="533">
        <v>32</v>
      </c>
      <c r="B180" s="534"/>
      <c r="C180" s="535"/>
      <c r="D180" s="531"/>
      <c r="E180" s="532"/>
      <c r="F180" s="531"/>
      <c r="G180" s="532"/>
      <c r="H180" s="531"/>
      <c r="I180" s="532"/>
      <c r="J180" s="531"/>
      <c r="K180" s="532"/>
      <c r="L180" s="531"/>
      <c r="M180" s="532"/>
      <c r="N180" s="542"/>
      <c r="O180" s="266"/>
      <c r="P180" s="227"/>
      <c r="Q180" s="267"/>
      <c r="R180" s="267"/>
      <c r="S180" s="267"/>
      <c r="T180" s="267"/>
      <c r="U180" s="267"/>
      <c r="V180" s="267"/>
      <c r="W180" s="267"/>
      <c r="X180" s="267"/>
      <c r="Y180" s="267"/>
      <c r="Z180" s="267"/>
      <c r="AA180" s="267"/>
      <c r="AB180" s="213"/>
    </row>
    <row r="181" spans="1:28" s="353" customFormat="1" ht="12.75" hidden="1" customHeight="1" x14ac:dyDescent="0.2">
      <c r="A181" s="526">
        <v>33</v>
      </c>
      <c r="B181" s="527"/>
      <c r="C181" s="528"/>
      <c r="D181" s="531"/>
      <c r="E181" s="532"/>
      <c r="F181" s="531"/>
      <c r="G181" s="532"/>
      <c r="H181" s="531"/>
      <c r="I181" s="532"/>
      <c r="J181" s="531"/>
      <c r="K181" s="532"/>
      <c r="L181" s="531"/>
      <c r="M181" s="532"/>
      <c r="N181" s="542"/>
      <c r="O181" s="266"/>
      <c r="P181" s="227"/>
      <c r="Q181" s="267"/>
      <c r="R181" s="267"/>
      <c r="S181" s="267"/>
      <c r="T181" s="267"/>
      <c r="U181" s="267"/>
      <c r="V181" s="267"/>
      <c r="W181" s="267"/>
      <c r="X181" s="267"/>
      <c r="Y181" s="267"/>
      <c r="Z181" s="267"/>
      <c r="AA181" s="267"/>
      <c r="AB181" s="213"/>
    </row>
    <row r="182" spans="1:28" s="353" customFormat="1" ht="12.75" hidden="1" customHeight="1" x14ac:dyDescent="0.2">
      <c r="A182" s="526">
        <v>34</v>
      </c>
      <c r="B182" s="527"/>
      <c r="C182" s="528"/>
      <c r="D182" s="531"/>
      <c r="E182" s="532"/>
      <c r="F182" s="531"/>
      <c r="G182" s="532"/>
      <c r="H182" s="531"/>
      <c r="I182" s="532"/>
      <c r="J182" s="531"/>
      <c r="K182" s="532"/>
      <c r="L182" s="531"/>
      <c r="M182" s="532"/>
      <c r="N182" s="542"/>
      <c r="O182" s="266"/>
      <c r="P182" s="227"/>
      <c r="Q182" s="267"/>
      <c r="R182" s="267"/>
      <c r="S182" s="267"/>
      <c r="T182" s="267"/>
      <c r="U182" s="267"/>
      <c r="V182" s="267"/>
      <c r="W182" s="267"/>
      <c r="X182" s="267"/>
      <c r="Y182" s="267"/>
      <c r="Z182" s="267"/>
      <c r="AA182" s="267"/>
      <c r="AB182" s="213"/>
    </row>
    <row r="183" spans="1:28" s="353" customFormat="1" ht="12.75" hidden="1" customHeight="1" x14ac:dyDescent="0.2">
      <c r="A183" s="526">
        <v>35</v>
      </c>
      <c r="B183" s="527"/>
      <c r="C183" s="528"/>
      <c r="D183" s="531"/>
      <c r="E183" s="532"/>
      <c r="F183" s="531"/>
      <c r="G183" s="532"/>
      <c r="H183" s="531"/>
      <c r="I183" s="532"/>
      <c r="J183" s="531"/>
      <c r="K183" s="532"/>
      <c r="L183" s="531"/>
      <c r="M183" s="532"/>
      <c r="N183" s="542"/>
      <c r="O183" s="266"/>
      <c r="P183" s="227"/>
      <c r="Q183" s="267"/>
      <c r="R183" s="267"/>
      <c r="S183" s="267"/>
      <c r="T183" s="267"/>
      <c r="U183" s="267"/>
      <c r="V183" s="267"/>
      <c r="W183" s="267"/>
      <c r="X183" s="267"/>
      <c r="Y183" s="267"/>
      <c r="Z183" s="267"/>
      <c r="AA183" s="267"/>
      <c r="AB183" s="213"/>
    </row>
    <row r="184" spans="1:28" s="353" customFormat="1" ht="12.75" hidden="1" customHeight="1" x14ac:dyDescent="0.2">
      <c r="A184" s="526">
        <v>36</v>
      </c>
      <c r="B184" s="527"/>
      <c r="C184" s="528"/>
      <c r="D184" s="531"/>
      <c r="E184" s="532"/>
      <c r="F184" s="531"/>
      <c r="G184" s="532"/>
      <c r="H184" s="531"/>
      <c r="I184" s="532"/>
      <c r="J184" s="531"/>
      <c r="K184" s="532"/>
      <c r="L184" s="531"/>
      <c r="M184" s="532"/>
      <c r="N184" s="542"/>
      <c r="O184" s="266"/>
      <c r="P184" s="227"/>
      <c r="Q184" s="267"/>
      <c r="R184" s="267"/>
      <c r="S184" s="267"/>
      <c r="T184" s="267"/>
      <c r="U184" s="267"/>
      <c r="V184" s="267"/>
      <c r="W184" s="267"/>
      <c r="X184" s="267"/>
      <c r="Y184" s="267"/>
      <c r="Z184" s="267"/>
      <c r="AA184" s="267"/>
      <c r="AB184" s="213"/>
    </row>
    <row r="185" spans="1:28" s="353" customFormat="1" ht="12.75" hidden="1" customHeight="1" x14ac:dyDescent="0.2">
      <c r="A185" s="526">
        <v>37</v>
      </c>
      <c r="B185" s="527"/>
      <c r="C185" s="528"/>
      <c r="D185" s="531"/>
      <c r="E185" s="532"/>
      <c r="F185" s="531"/>
      <c r="G185" s="532"/>
      <c r="H185" s="531"/>
      <c r="I185" s="532"/>
      <c r="J185" s="531"/>
      <c r="K185" s="532"/>
      <c r="L185" s="531"/>
      <c r="M185" s="532"/>
      <c r="N185" s="542"/>
      <c r="O185" s="266"/>
      <c r="P185" s="227"/>
      <c r="Q185" s="267"/>
      <c r="R185" s="267"/>
      <c r="S185" s="267"/>
      <c r="T185" s="267"/>
      <c r="U185" s="267"/>
      <c r="V185" s="267"/>
      <c r="W185" s="267"/>
      <c r="X185" s="267"/>
      <c r="Y185" s="267"/>
      <c r="Z185" s="267"/>
      <c r="AA185" s="267"/>
      <c r="AB185" s="213"/>
    </row>
    <row r="186" spans="1:28" s="353" customFormat="1" ht="12.75" hidden="1" customHeight="1" x14ac:dyDescent="0.2">
      <c r="A186" s="526">
        <v>38</v>
      </c>
      <c r="B186" s="527"/>
      <c r="C186" s="528"/>
      <c r="D186" s="531"/>
      <c r="E186" s="532"/>
      <c r="F186" s="531"/>
      <c r="G186" s="532"/>
      <c r="H186" s="531"/>
      <c r="I186" s="532"/>
      <c r="J186" s="531"/>
      <c r="K186" s="532"/>
      <c r="L186" s="531"/>
      <c r="M186" s="532"/>
      <c r="N186" s="542"/>
      <c r="O186" s="266"/>
      <c r="P186" s="227"/>
      <c r="Q186" s="267"/>
      <c r="R186" s="267"/>
      <c r="S186" s="267"/>
      <c r="T186" s="267"/>
      <c r="U186" s="267"/>
      <c r="V186" s="267"/>
      <c r="W186" s="267"/>
      <c r="X186" s="267"/>
      <c r="Y186" s="267"/>
      <c r="Z186" s="267"/>
      <c r="AA186" s="267"/>
      <c r="AB186" s="213"/>
    </row>
    <row r="187" spans="1:28" s="353" customFormat="1" ht="12.75" hidden="1" customHeight="1" x14ac:dyDescent="0.2">
      <c r="A187" s="526">
        <v>39</v>
      </c>
      <c r="B187" s="527"/>
      <c r="C187" s="528"/>
      <c r="D187" s="531"/>
      <c r="E187" s="532"/>
      <c r="F187" s="531"/>
      <c r="G187" s="532"/>
      <c r="H187" s="531"/>
      <c r="I187" s="532"/>
      <c r="J187" s="531"/>
      <c r="K187" s="532"/>
      <c r="L187" s="531"/>
      <c r="M187" s="532"/>
      <c r="N187" s="542"/>
      <c r="O187" s="266"/>
      <c r="P187" s="227"/>
      <c r="Q187" s="267"/>
      <c r="R187" s="267"/>
      <c r="S187" s="267"/>
      <c r="T187" s="267"/>
      <c r="U187" s="267"/>
      <c r="V187" s="267"/>
      <c r="W187" s="267"/>
      <c r="X187" s="267"/>
      <c r="Y187" s="267"/>
      <c r="Z187" s="267"/>
      <c r="AA187" s="267"/>
      <c r="AB187" s="213"/>
    </row>
    <row r="188" spans="1:28" s="353" customFormat="1" ht="12.75" hidden="1" customHeight="1" x14ac:dyDescent="0.2">
      <c r="A188" s="536">
        <v>40</v>
      </c>
      <c r="B188" s="537"/>
      <c r="C188" s="538"/>
      <c r="D188" s="539"/>
      <c r="E188" s="540"/>
      <c r="F188" s="539"/>
      <c r="G188" s="540"/>
      <c r="H188" s="539"/>
      <c r="I188" s="540"/>
      <c r="J188" s="539"/>
      <c r="K188" s="540"/>
      <c r="L188" s="539"/>
      <c r="M188" s="540"/>
      <c r="N188" s="542"/>
      <c r="O188" s="266"/>
      <c r="P188" s="227"/>
      <c r="Q188" s="267"/>
      <c r="R188" s="267"/>
      <c r="S188" s="267"/>
      <c r="T188" s="267"/>
      <c r="U188" s="267"/>
      <c r="V188" s="267"/>
      <c r="W188" s="267"/>
      <c r="X188" s="267"/>
      <c r="Y188" s="267"/>
      <c r="Z188" s="267"/>
      <c r="AA188" s="267"/>
      <c r="AB188" s="213"/>
    </row>
    <row r="189" spans="1:28" ht="18.75" customHeight="1" x14ac:dyDescent="0.2">
      <c r="A189" s="541"/>
      <c r="B189" s="520"/>
      <c r="C189" s="520"/>
      <c r="D189" s="520"/>
      <c r="E189" s="520"/>
      <c r="F189" s="520"/>
      <c r="G189" s="520"/>
      <c r="H189" s="520"/>
      <c r="I189" s="520"/>
      <c r="J189" s="520"/>
      <c r="K189" s="520"/>
      <c r="L189" s="520"/>
      <c r="M189" s="520"/>
      <c r="N189" s="520"/>
      <c r="O189" s="87"/>
      <c r="P189" s="88"/>
      <c r="AB189" s="213"/>
    </row>
    <row r="190" spans="1:28" ht="18.75" hidden="1" customHeight="1" x14ac:dyDescent="0.2">
      <c r="A190" s="819" t="s">
        <v>87</v>
      </c>
      <c r="B190" s="820"/>
      <c r="C190" s="820"/>
      <c r="D190" s="820"/>
      <c r="E190" s="820"/>
      <c r="F190" s="820"/>
      <c r="G190" s="820"/>
      <c r="H190" s="820"/>
      <c r="I190" s="820"/>
      <c r="J190" s="820"/>
      <c r="K190" s="820"/>
      <c r="L190" s="820"/>
      <c r="M190" s="820"/>
      <c r="N190" s="821"/>
      <c r="O190" s="87" t="s">
        <v>11</v>
      </c>
      <c r="P190" s="88"/>
      <c r="AB190" s="213"/>
    </row>
    <row r="191" spans="1:28" ht="33.75" customHeight="1" x14ac:dyDescent="0.2">
      <c r="A191" s="822" t="s">
        <v>237</v>
      </c>
      <c r="B191" s="823"/>
      <c r="C191" s="823"/>
      <c r="D191" s="823"/>
      <c r="E191" s="823"/>
      <c r="F191" s="823"/>
      <c r="G191" s="823"/>
      <c r="H191" s="823"/>
      <c r="I191" s="823"/>
      <c r="J191" s="823"/>
      <c r="K191" s="823"/>
      <c r="L191" s="823"/>
      <c r="M191" s="823"/>
      <c r="N191" s="824"/>
      <c r="O191" s="87"/>
      <c r="P191" s="88"/>
      <c r="AB191" s="213"/>
    </row>
    <row r="192" spans="1:28" ht="299.25" customHeight="1" x14ac:dyDescent="0.2">
      <c r="A192" s="825"/>
      <c r="B192" s="826"/>
      <c r="C192" s="826"/>
      <c r="D192" s="826"/>
      <c r="E192" s="826"/>
      <c r="F192" s="826"/>
      <c r="G192" s="826"/>
      <c r="H192" s="826"/>
      <c r="I192" s="826"/>
      <c r="J192" s="826"/>
      <c r="K192" s="826"/>
      <c r="L192" s="826"/>
      <c r="M192" s="826"/>
      <c r="N192" s="827"/>
      <c r="O192" s="115" t="s">
        <v>477</v>
      </c>
      <c r="P192" s="116"/>
      <c r="AB192" s="284"/>
    </row>
    <row r="193" ht="20.25" hidden="1" customHeight="1" x14ac:dyDescent="0.2"/>
  </sheetData>
  <sheetProtection password="9A3D" sheet="1" objects="1" scenarios="1"/>
  <mergeCells count="57">
    <mergeCell ref="A99:N99"/>
    <mergeCell ref="A7:N7"/>
    <mergeCell ref="A1:N1"/>
    <mergeCell ref="A2:N2"/>
    <mergeCell ref="A3:N3"/>
    <mergeCell ref="A5:N5"/>
    <mergeCell ref="A6:N6"/>
    <mergeCell ref="A4:N4"/>
    <mergeCell ref="A9:N9"/>
    <mergeCell ref="A10:N10"/>
    <mergeCell ref="A13:N13"/>
    <mergeCell ref="R13:Y13"/>
    <mergeCell ref="A14:A15"/>
    <mergeCell ref="B14:B15"/>
    <mergeCell ref="C14:C15"/>
    <mergeCell ref="D14:D15"/>
    <mergeCell ref="E14:E15"/>
    <mergeCell ref="F14:F15"/>
    <mergeCell ref="AA14:AA15"/>
    <mergeCell ref="G14:G15"/>
    <mergeCell ref="H14:H15"/>
    <mergeCell ref="I14:M14"/>
    <mergeCell ref="N14:N15"/>
    <mergeCell ref="R14:R15"/>
    <mergeCell ref="S14:S15"/>
    <mergeCell ref="T14:T15"/>
    <mergeCell ref="U14:U15"/>
    <mergeCell ref="W14:W15"/>
    <mergeCell ref="X14:X15"/>
    <mergeCell ref="Y14:Y15"/>
    <mergeCell ref="V14:V15"/>
    <mergeCell ref="A100:N100"/>
    <mergeCell ref="A101:N101"/>
    <mergeCell ref="A103:N103"/>
    <mergeCell ref="R103:Y103"/>
    <mergeCell ref="A104:A105"/>
    <mergeCell ref="B104:B105"/>
    <mergeCell ref="C104:C105"/>
    <mergeCell ref="D104:D105"/>
    <mergeCell ref="E104:E105"/>
    <mergeCell ref="F104:F105"/>
    <mergeCell ref="W104:W105"/>
    <mergeCell ref="X104:X105"/>
    <mergeCell ref="Y104:Y105"/>
    <mergeCell ref="AA104:AA105"/>
    <mergeCell ref="G104:G105"/>
    <mergeCell ref="H104:H105"/>
    <mergeCell ref="I104:M104"/>
    <mergeCell ref="N104:N105"/>
    <mergeCell ref="R104:R105"/>
    <mergeCell ref="S104:S105"/>
    <mergeCell ref="V104:V105"/>
    <mergeCell ref="A190:N190"/>
    <mergeCell ref="A191:N191"/>
    <mergeCell ref="A192:N192"/>
    <mergeCell ref="T104:T105"/>
    <mergeCell ref="U104:U105"/>
  </mergeCells>
  <conditionalFormatting sqref="A16:A55 A106:A145">
    <cfRule type="expression" dxfId="14" priority="6">
      <formula>IF($X16="NO",1,0)</formula>
    </cfRule>
  </conditionalFormatting>
  <conditionalFormatting sqref="B16:B55 B106:B145">
    <cfRule type="expression" dxfId="13" priority="5">
      <formula>IF(R16="NO",TRUE,FALSE)</formula>
    </cfRule>
  </conditionalFormatting>
  <conditionalFormatting sqref="C16:C55 C106:C145">
    <cfRule type="expression" dxfId="12" priority="3">
      <formula>IF(R16="NO",TRUE,FALSE)</formula>
    </cfRule>
  </conditionalFormatting>
  <conditionalFormatting sqref="A6 A7:E7">
    <cfRule type="expression" dxfId="11" priority="2">
      <formula>IF(Q6="FAILED",TRUE,FALSE)</formula>
    </cfRule>
  </conditionalFormatting>
  <conditionalFormatting sqref="A16:N55 A106:N145">
    <cfRule type="expression" dxfId="10" priority="7">
      <formula>IF(COUNTBLANK($D59:$L59)=9,TRUE,FALSE)</formula>
    </cfRule>
    <cfRule type="expression" dxfId="9" priority="10">
      <formula>IF(OR($Y16="FLAG"),TRUE, FALSE)</formula>
    </cfRule>
  </conditionalFormatting>
  <conditionalFormatting sqref="F7:N7">
    <cfRule type="expression" dxfId="8" priority="71">
      <formula>IF(W7="FAILED",TRUE,FALSE)</formula>
    </cfRule>
  </conditionalFormatting>
  <conditionalFormatting sqref="B16:M55 B106:M145">
    <cfRule type="expression" dxfId="7" priority="1">
      <formula>IF(COUNTBLANK($B59:$M59)&lt;&gt;12,IF(B16&lt;&gt;B59,TRUE,FALSE),FALSE)</formula>
    </cfRule>
  </conditionalFormatting>
  <dataValidations count="6">
    <dataValidation type="list" allowBlank="1" showInputMessage="1" showErrorMessage="1" sqref="D16:D55" xr:uid="{00000000-0002-0000-0900-000000000000}">
      <formula1>target</formula1>
    </dataValidation>
    <dataValidation type="list" allowBlank="1" showInputMessage="1" showErrorMessage="1" sqref="B106:B145 B16:B55" xr:uid="{00000000-0002-0000-0900-000001000000}">
      <formula1>MILE_lifecycle_stage</formula1>
    </dataValidation>
    <dataValidation type="list" allowBlank="1" showInputMessage="1" showErrorMessage="1" sqref="G16:G55 G106:G145" xr:uid="{00000000-0002-0000-0900-000002000000}">
      <formula1>MILE_base_yr</formula1>
    </dataValidation>
    <dataValidation type="list" allowBlank="1" showInputMessage="1" showErrorMessage="1" sqref="F16:F55 F106:F145" xr:uid="{00000000-0002-0000-0900-000003000000}">
      <formula1>MILE_val_choice</formula1>
    </dataValidation>
    <dataValidation type="list" allowBlank="1" showInputMessage="1" showErrorMessage="1" sqref="D106:D145" xr:uid="{00000000-0002-0000-0900-000004000000}">
      <formula1>MILE_target_type_general</formula1>
    </dataValidation>
    <dataValidation type="list" allowBlank="1" showInputMessage="1" showErrorMessage="1" sqref="C16:C55 C106:C145" xr:uid="{00000000-0002-0000-0900-000005000000}">
      <formula1>MILE_target_type</formula1>
    </dataValidation>
  </dataValidation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A82"/>
  <sheetViews>
    <sheetView showGridLines="0" zoomScaleNormal="100" zoomScaleSheetLayoutView="85" workbookViewId="0">
      <selection sqref="A1:H1"/>
    </sheetView>
  </sheetViews>
  <sheetFormatPr defaultColWidth="0" defaultRowHeight="12.75" zeroHeight="1" x14ac:dyDescent="0.2"/>
  <cols>
    <col min="1" max="1" width="20.7109375" style="459" customWidth="1"/>
    <col min="2" max="2" width="50.85546875" style="459" customWidth="1"/>
    <col min="3" max="3" width="15.7109375" style="459" customWidth="1"/>
    <col min="4" max="4" width="20.5703125" style="459" customWidth="1"/>
    <col min="5" max="5" width="25.7109375" style="459" customWidth="1"/>
    <col min="6" max="6" width="40.7109375" style="459" customWidth="1"/>
    <col min="7" max="7" width="15.7109375" style="459" customWidth="1"/>
    <col min="8" max="8" width="60.7109375" style="459" customWidth="1"/>
    <col min="9" max="10" width="11.7109375" style="388" hidden="1" customWidth="1"/>
    <col min="11" max="11" width="20.7109375" style="459" hidden="1" customWidth="1"/>
    <col min="12" max="12" width="13.7109375" style="459" hidden="1" customWidth="1"/>
    <col min="13" max="13" width="18.42578125" style="459" hidden="1" customWidth="1"/>
    <col min="14" max="14" width="25.5703125" style="459" hidden="1" customWidth="1"/>
    <col min="15" max="15" width="12.28515625" style="459" hidden="1" customWidth="1"/>
    <col min="16" max="21" width="9.140625" style="459" hidden="1" customWidth="1"/>
    <col min="22" max="16384" width="9.140625" style="459" hidden="1"/>
  </cols>
  <sheetData>
    <row r="1" spans="1:15" ht="18" customHeight="1" x14ac:dyDescent="0.2">
      <c r="A1" s="889" t="s">
        <v>456</v>
      </c>
      <c r="B1" s="890"/>
      <c r="C1" s="890"/>
      <c r="D1" s="890"/>
      <c r="E1" s="890"/>
      <c r="F1" s="890"/>
      <c r="G1" s="890"/>
      <c r="H1" s="890"/>
      <c r="I1" s="891" t="s">
        <v>416</v>
      </c>
      <c r="J1" s="892"/>
    </row>
    <row r="2" spans="1:15" ht="15" x14ac:dyDescent="0.2">
      <c r="A2" s="893" t="str">
        <f>Contact!A2</f>
        <v>Institution name: Derby College</v>
      </c>
      <c r="B2" s="894"/>
      <c r="C2" s="894"/>
      <c r="D2" s="894"/>
      <c r="E2" s="894"/>
      <c r="F2" s="894"/>
      <c r="G2" s="894"/>
      <c r="H2" s="894"/>
      <c r="I2" s="357"/>
      <c r="J2" s="358"/>
    </row>
    <row r="3" spans="1:15" ht="15" x14ac:dyDescent="0.2">
      <c r="A3" s="893" t="str">
        <f>Contact!A3</f>
        <v>Institution UKPRN: 10001919</v>
      </c>
      <c r="B3" s="894"/>
      <c r="C3" s="894"/>
      <c r="D3" s="894"/>
      <c r="E3" s="894"/>
      <c r="F3" s="894"/>
      <c r="G3" s="894"/>
      <c r="H3" s="894"/>
      <c r="I3" s="357"/>
      <c r="J3" s="358"/>
    </row>
    <row r="4" spans="1:15" ht="15" x14ac:dyDescent="0.2">
      <c r="A4" s="359"/>
      <c r="B4" s="360"/>
      <c r="C4" s="360"/>
      <c r="D4" s="361"/>
      <c r="E4" s="360"/>
      <c r="F4" s="360"/>
      <c r="G4" s="360"/>
      <c r="H4" s="360"/>
      <c r="I4" s="357"/>
      <c r="J4" s="358"/>
      <c r="K4" s="360"/>
      <c r="L4" s="360"/>
      <c r="M4" s="360"/>
    </row>
    <row r="5" spans="1:15" ht="15" customHeight="1" x14ac:dyDescent="0.2">
      <c r="A5" s="895" t="s">
        <v>59</v>
      </c>
      <c r="B5" s="896"/>
      <c r="C5" s="896"/>
      <c r="D5" s="896"/>
      <c r="E5" s="896"/>
      <c r="F5" s="424"/>
      <c r="G5" s="424"/>
      <c r="H5" s="424"/>
      <c r="I5" s="357"/>
      <c r="J5" s="358"/>
      <c r="K5" s="31" t="s">
        <v>35</v>
      </c>
    </row>
    <row r="6" spans="1:15" ht="18" customHeight="1" x14ac:dyDescent="0.2">
      <c r="A6" s="887" t="s">
        <v>503</v>
      </c>
      <c r="B6" s="888"/>
      <c r="C6" s="888"/>
      <c r="D6" s="888"/>
      <c r="E6" s="888"/>
      <c r="F6" s="888"/>
      <c r="G6" s="888"/>
      <c r="H6" s="888"/>
      <c r="I6" s="357"/>
      <c r="J6" s="358"/>
      <c r="K6" s="33" t="str">
        <f>IF(COUNTIF(M15:M44,"NO")&gt;0,"FAILED","PASSED")</f>
        <v>PASSED</v>
      </c>
    </row>
    <row r="7" spans="1:15" ht="18" customHeight="1" x14ac:dyDescent="0.2">
      <c r="A7" s="871" t="s">
        <v>504</v>
      </c>
      <c r="B7" s="872"/>
      <c r="C7" s="872"/>
      <c r="D7" s="872"/>
      <c r="E7" s="872"/>
      <c r="F7" s="872"/>
      <c r="G7" s="872"/>
      <c r="H7" s="872"/>
      <c r="I7" s="357"/>
      <c r="J7" s="358"/>
      <c r="K7" s="34" t="str">
        <f>IF(COUNTIF(M49:M78,"NO")&gt;0,"FAILED","PASSED")</f>
        <v>PASSED</v>
      </c>
    </row>
    <row r="8" spans="1:15" ht="15" x14ac:dyDescent="0.2">
      <c r="A8" s="362"/>
      <c r="B8" s="363"/>
      <c r="C8" s="363"/>
      <c r="D8" s="364"/>
      <c r="E8" s="363"/>
      <c r="F8" s="363"/>
      <c r="G8" s="363"/>
      <c r="H8" s="363"/>
      <c r="I8" s="365"/>
      <c r="J8" s="366"/>
      <c r="K8" s="363"/>
    </row>
    <row r="9" spans="1:15" ht="15" hidden="1" x14ac:dyDescent="0.2">
      <c r="A9" s="873" t="s">
        <v>60</v>
      </c>
      <c r="B9" s="874"/>
      <c r="C9" s="874"/>
      <c r="D9" s="874"/>
      <c r="E9" s="874"/>
      <c r="F9" s="874"/>
      <c r="G9" s="874"/>
      <c r="H9" s="874"/>
      <c r="I9" s="357"/>
      <c r="J9" s="358"/>
    </row>
    <row r="10" spans="1:15" ht="14.25" hidden="1" x14ac:dyDescent="0.2">
      <c r="A10" s="875" t="s">
        <v>457</v>
      </c>
      <c r="B10" s="876"/>
      <c r="C10" s="876"/>
      <c r="D10" s="876"/>
      <c r="E10" s="876"/>
      <c r="F10" s="876"/>
      <c r="G10" s="876"/>
      <c r="H10" s="876"/>
      <c r="I10" s="357"/>
      <c r="J10" s="358"/>
    </row>
    <row r="11" spans="1:15" hidden="1" x14ac:dyDescent="0.2">
      <c r="A11" s="367"/>
      <c r="B11" s="368"/>
      <c r="C11" s="368"/>
      <c r="D11" s="369"/>
      <c r="E11" s="368"/>
      <c r="F11" s="368"/>
      <c r="G11" s="368"/>
      <c r="H11" s="368"/>
      <c r="I11" s="357"/>
      <c r="J11" s="358"/>
      <c r="K11" s="368"/>
      <c r="L11" s="368"/>
      <c r="M11" s="368"/>
    </row>
    <row r="12" spans="1:15" hidden="1" x14ac:dyDescent="0.2">
      <c r="A12" s="357" t="s">
        <v>124</v>
      </c>
      <c r="B12" s="370" t="s">
        <v>417</v>
      </c>
      <c r="C12" s="370" t="s">
        <v>418</v>
      </c>
      <c r="D12" s="370" t="s">
        <v>419</v>
      </c>
      <c r="E12" s="370" t="s">
        <v>420</v>
      </c>
      <c r="F12" s="370" t="s">
        <v>421</v>
      </c>
      <c r="G12" s="411" t="s">
        <v>87</v>
      </c>
      <c r="H12" s="412"/>
      <c r="I12" s="357" t="s">
        <v>11</v>
      </c>
      <c r="J12" s="358" t="s">
        <v>0</v>
      </c>
      <c r="L12" s="881" t="s">
        <v>132</v>
      </c>
      <c r="M12" s="882"/>
      <c r="N12" s="882"/>
      <c r="O12" s="882"/>
    </row>
    <row r="13" spans="1:15" ht="25.5" customHeight="1" x14ac:dyDescent="0.2">
      <c r="A13" s="862" t="s">
        <v>567</v>
      </c>
      <c r="B13" s="863"/>
      <c r="C13" s="863"/>
      <c r="D13" s="863"/>
      <c r="E13" s="863"/>
      <c r="F13" s="863"/>
      <c r="G13" s="863"/>
      <c r="H13" s="864"/>
      <c r="I13" s="357"/>
      <c r="J13" s="358"/>
      <c r="L13" s="883" t="s">
        <v>143</v>
      </c>
      <c r="M13" s="885" t="s">
        <v>145</v>
      </c>
      <c r="N13" s="885" t="s">
        <v>422</v>
      </c>
      <c r="O13" s="885" t="s">
        <v>132</v>
      </c>
    </row>
    <row r="14" spans="1:15" ht="40.5" customHeight="1" x14ac:dyDescent="0.2">
      <c r="A14" s="389" t="s">
        <v>460</v>
      </c>
      <c r="B14" s="390" t="s">
        <v>423</v>
      </c>
      <c r="C14" s="389" t="s">
        <v>424</v>
      </c>
      <c r="D14" s="432" t="s">
        <v>425</v>
      </c>
      <c r="E14" s="432" t="s">
        <v>320</v>
      </c>
      <c r="F14" s="389" t="s">
        <v>426</v>
      </c>
      <c r="G14" s="877" t="s">
        <v>427</v>
      </c>
      <c r="H14" s="878"/>
      <c r="I14" s="357"/>
      <c r="J14" s="358"/>
      <c r="L14" s="884"/>
      <c r="M14" s="886"/>
      <c r="N14" s="886"/>
      <c r="O14" s="886"/>
    </row>
    <row r="15" spans="1:15" ht="15" customHeight="1" x14ac:dyDescent="0.2">
      <c r="A15" s="503"/>
      <c r="B15" s="403"/>
      <c r="C15" s="403"/>
      <c r="D15" s="406"/>
      <c r="E15" s="406"/>
      <c r="F15" s="403"/>
      <c r="G15" s="879"/>
      <c r="H15" s="880"/>
      <c r="I15" s="357" t="s">
        <v>478</v>
      </c>
      <c r="J15" s="410">
        <v>1</v>
      </c>
      <c r="L15" s="372" t="str">
        <f>IF(COUNTBLANK(A15:H15)=8,"NO","YES")</f>
        <v>NO</v>
      </c>
      <c r="M15" s="372" t="str">
        <f>IF(L15="NO","",IF(COUNTBLANK(A15:F15)=0,"YES","NO"))</f>
        <v/>
      </c>
      <c r="N15" s="372" t="str">
        <f>IF(COUNTBLANK($A15)=1,"",IF(ISNUMBER($A15)=TRUE,IF(OR((LEN(A15)=5),(LEN(A15)=6)),"YES","NO"),"NO"))</f>
        <v/>
      </c>
      <c r="O15" s="372" t="str">
        <f>IF(OR(M15="NO",N15="NO"),"FLAG","")</f>
        <v/>
      </c>
    </row>
    <row r="16" spans="1:15" x14ac:dyDescent="0.2">
      <c r="A16" s="504"/>
      <c r="B16" s="404"/>
      <c r="C16" s="404"/>
      <c r="D16" s="407"/>
      <c r="E16" s="407"/>
      <c r="F16" s="404"/>
      <c r="G16" s="869"/>
      <c r="H16" s="870"/>
      <c r="I16" s="357" t="s">
        <v>478</v>
      </c>
      <c r="J16" s="409">
        <v>2</v>
      </c>
      <c r="L16" s="372" t="str">
        <f t="shared" ref="L16:L44" si="0">IF(COUNTBLANK(A16:H16)=8,"NO","YES")</f>
        <v>NO</v>
      </c>
      <c r="M16" s="372" t="str">
        <f t="shared" ref="M16:M44" si="1">IF(L16="NO","",IF(COUNTBLANK(A16:F16)=0,"YES","NO"))</f>
        <v/>
      </c>
      <c r="N16" s="372" t="str">
        <f t="shared" ref="N16:N44" si="2">IF(COUNTBLANK($A16)=1,"",IF(ISNUMBER($A16)=TRUE,IF(OR((LEN(A16)=5),(LEN(A16)=6)),"YES","NO"),"NO"))</f>
        <v/>
      </c>
      <c r="O16" s="372" t="str">
        <f t="shared" ref="O16:O44" si="3">IF(OR(M16="NO",N16="NO"),"FLAG","")</f>
        <v/>
      </c>
    </row>
    <row r="17" spans="1:15" ht="12.75" customHeight="1" x14ac:dyDescent="0.2">
      <c r="A17" s="504"/>
      <c r="B17" s="404"/>
      <c r="C17" s="404"/>
      <c r="D17" s="407"/>
      <c r="E17" s="407"/>
      <c r="F17" s="404"/>
      <c r="G17" s="869"/>
      <c r="H17" s="870"/>
      <c r="I17" s="357" t="s">
        <v>478</v>
      </c>
      <c r="J17" s="409">
        <v>3</v>
      </c>
      <c r="L17" s="372" t="str">
        <f t="shared" si="0"/>
        <v>NO</v>
      </c>
      <c r="M17" s="372" t="str">
        <f t="shared" si="1"/>
        <v/>
      </c>
      <c r="N17" s="372" t="str">
        <f t="shared" si="2"/>
        <v/>
      </c>
      <c r="O17" s="372" t="str">
        <f t="shared" si="3"/>
        <v/>
      </c>
    </row>
    <row r="18" spans="1:15" ht="12.75" customHeight="1" x14ac:dyDescent="0.2">
      <c r="A18" s="504"/>
      <c r="B18" s="404"/>
      <c r="C18" s="404"/>
      <c r="D18" s="407"/>
      <c r="E18" s="407"/>
      <c r="F18" s="404"/>
      <c r="G18" s="869"/>
      <c r="H18" s="870"/>
      <c r="I18" s="357" t="s">
        <v>478</v>
      </c>
      <c r="J18" s="409">
        <v>4</v>
      </c>
      <c r="L18" s="372" t="str">
        <f t="shared" si="0"/>
        <v>NO</v>
      </c>
      <c r="M18" s="372" t="str">
        <f t="shared" si="1"/>
        <v/>
      </c>
      <c r="N18" s="372" t="str">
        <f t="shared" si="2"/>
        <v/>
      </c>
      <c r="O18" s="372" t="str">
        <f t="shared" si="3"/>
        <v/>
      </c>
    </row>
    <row r="19" spans="1:15" ht="12.75" customHeight="1" x14ac:dyDescent="0.2">
      <c r="A19" s="504"/>
      <c r="B19" s="404"/>
      <c r="C19" s="404"/>
      <c r="D19" s="407"/>
      <c r="E19" s="407"/>
      <c r="F19" s="404"/>
      <c r="G19" s="869"/>
      <c r="H19" s="870"/>
      <c r="I19" s="357" t="s">
        <v>478</v>
      </c>
      <c r="J19" s="409">
        <v>5</v>
      </c>
      <c r="L19" s="372" t="str">
        <f t="shared" si="0"/>
        <v>NO</v>
      </c>
      <c r="M19" s="372" t="str">
        <f t="shared" si="1"/>
        <v/>
      </c>
      <c r="N19" s="372" t="str">
        <f t="shared" si="2"/>
        <v/>
      </c>
      <c r="O19" s="372" t="str">
        <f t="shared" si="3"/>
        <v/>
      </c>
    </row>
    <row r="20" spans="1:15" ht="12.75" customHeight="1" x14ac:dyDescent="0.2">
      <c r="A20" s="504"/>
      <c r="B20" s="404"/>
      <c r="C20" s="404"/>
      <c r="D20" s="407"/>
      <c r="E20" s="407"/>
      <c r="F20" s="404"/>
      <c r="G20" s="869"/>
      <c r="H20" s="870"/>
      <c r="I20" s="357" t="s">
        <v>478</v>
      </c>
      <c r="J20" s="409">
        <v>6</v>
      </c>
      <c r="L20" s="372" t="str">
        <f t="shared" si="0"/>
        <v>NO</v>
      </c>
      <c r="M20" s="372" t="str">
        <f t="shared" si="1"/>
        <v/>
      </c>
      <c r="N20" s="372" t="str">
        <f t="shared" si="2"/>
        <v/>
      </c>
      <c r="O20" s="372" t="str">
        <f t="shared" si="3"/>
        <v/>
      </c>
    </row>
    <row r="21" spans="1:15" ht="12.75" customHeight="1" x14ac:dyDescent="0.2">
      <c r="A21" s="504"/>
      <c r="B21" s="404"/>
      <c r="C21" s="404"/>
      <c r="D21" s="407"/>
      <c r="E21" s="407"/>
      <c r="F21" s="404"/>
      <c r="G21" s="869"/>
      <c r="H21" s="870"/>
      <c r="I21" s="357" t="s">
        <v>478</v>
      </c>
      <c r="J21" s="409">
        <v>7</v>
      </c>
      <c r="L21" s="372" t="str">
        <f t="shared" si="0"/>
        <v>NO</v>
      </c>
      <c r="M21" s="372" t="str">
        <f t="shared" si="1"/>
        <v/>
      </c>
      <c r="N21" s="372" t="str">
        <f t="shared" si="2"/>
        <v/>
      </c>
      <c r="O21" s="372" t="str">
        <f t="shared" si="3"/>
        <v/>
      </c>
    </row>
    <row r="22" spans="1:15" ht="12.75" customHeight="1" x14ac:dyDescent="0.2">
      <c r="A22" s="504"/>
      <c r="B22" s="404"/>
      <c r="C22" s="404"/>
      <c r="D22" s="407"/>
      <c r="E22" s="407"/>
      <c r="F22" s="404"/>
      <c r="G22" s="869"/>
      <c r="H22" s="870"/>
      <c r="I22" s="357" t="s">
        <v>478</v>
      </c>
      <c r="J22" s="409">
        <v>8</v>
      </c>
      <c r="L22" s="372" t="str">
        <f t="shared" si="0"/>
        <v>NO</v>
      </c>
      <c r="M22" s="372" t="str">
        <f t="shared" si="1"/>
        <v/>
      </c>
      <c r="N22" s="372" t="str">
        <f t="shared" si="2"/>
        <v/>
      </c>
      <c r="O22" s="372" t="str">
        <f t="shared" si="3"/>
        <v/>
      </c>
    </row>
    <row r="23" spans="1:15" ht="12.75" customHeight="1" x14ac:dyDescent="0.2">
      <c r="A23" s="504"/>
      <c r="B23" s="404"/>
      <c r="C23" s="404"/>
      <c r="D23" s="407"/>
      <c r="E23" s="407"/>
      <c r="F23" s="404"/>
      <c r="G23" s="869"/>
      <c r="H23" s="870"/>
      <c r="I23" s="357" t="s">
        <v>478</v>
      </c>
      <c r="J23" s="409">
        <v>9</v>
      </c>
      <c r="L23" s="372" t="str">
        <f t="shared" si="0"/>
        <v>NO</v>
      </c>
      <c r="M23" s="372" t="str">
        <f t="shared" si="1"/>
        <v/>
      </c>
      <c r="N23" s="372" t="str">
        <f t="shared" si="2"/>
        <v/>
      </c>
      <c r="O23" s="372" t="str">
        <f t="shared" si="3"/>
        <v/>
      </c>
    </row>
    <row r="24" spans="1:15" ht="12.75" customHeight="1" x14ac:dyDescent="0.2">
      <c r="A24" s="504"/>
      <c r="B24" s="404"/>
      <c r="C24" s="404"/>
      <c r="D24" s="407"/>
      <c r="E24" s="407"/>
      <c r="F24" s="404"/>
      <c r="G24" s="869"/>
      <c r="H24" s="870"/>
      <c r="I24" s="357" t="s">
        <v>478</v>
      </c>
      <c r="J24" s="409">
        <v>10</v>
      </c>
      <c r="L24" s="372" t="str">
        <f t="shared" si="0"/>
        <v>NO</v>
      </c>
      <c r="M24" s="372" t="str">
        <f t="shared" si="1"/>
        <v/>
      </c>
      <c r="N24" s="372" t="str">
        <f t="shared" si="2"/>
        <v/>
      </c>
      <c r="O24" s="372" t="str">
        <f t="shared" si="3"/>
        <v/>
      </c>
    </row>
    <row r="25" spans="1:15" ht="12.75" customHeight="1" x14ac:dyDescent="0.2">
      <c r="A25" s="504"/>
      <c r="B25" s="404"/>
      <c r="C25" s="404"/>
      <c r="D25" s="407"/>
      <c r="E25" s="407"/>
      <c r="F25" s="404"/>
      <c r="G25" s="869"/>
      <c r="H25" s="870"/>
      <c r="I25" s="357" t="s">
        <v>478</v>
      </c>
      <c r="J25" s="409">
        <v>11</v>
      </c>
      <c r="L25" s="372" t="str">
        <f t="shared" si="0"/>
        <v>NO</v>
      </c>
      <c r="M25" s="372" t="str">
        <f t="shared" si="1"/>
        <v/>
      </c>
      <c r="N25" s="372" t="str">
        <f t="shared" si="2"/>
        <v/>
      </c>
      <c r="O25" s="372" t="str">
        <f t="shared" si="3"/>
        <v/>
      </c>
    </row>
    <row r="26" spans="1:15" ht="12.75" customHeight="1" x14ac:dyDescent="0.2">
      <c r="A26" s="504"/>
      <c r="B26" s="404"/>
      <c r="C26" s="404"/>
      <c r="D26" s="407"/>
      <c r="E26" s="407"/>
      <c r="F26" s="404"/>
      <c r="G26" s="869"/>
      <c r="H26" s="870"/>
      <c r="I26" s="357" t="s">
        <v>478</v>
      </c>
      <c r="J26" s="409">
        <v>12</v>
      </c>
      <c r="L26" s="372" t="str">
        <f t="shared" si="0"/>
        <v>NO</v>
      </c>
      <c r="M26" s="372" t="str">
        <f t="shared" si="1"/>
        <v/>
      </c>
      <c r="N26" s="372" t="str">
        <f t="shared" si="2"/>
        <v/>
      </c>
      <c r="O26" s="372" t="str">
        <f t="shared" si="3"/>
        <v/>
      </c>
    </row>
    <row r="27" spans="1:15" ht="12.75" customHeight="1" x14ac:dyDescent="0.2">
      <c r="A27" s="504"/>
      <c r="B27" s="404"/>
      <c r="C27" s="404"/>
      <c r="D27" s="407"/>
      <c r="E27" s="407"/>
      <c r="F27" s="404"/>
      <c r="G27" s="869"/>
      <c r="H27" s="870"/>
      <c r="I27" s="357" t="s">
        <v>478</v>
      </c>
      <c r="J27" s="409">
        <v>13</v>
      </c>
      <c r="L27" s="372" t="str">
        <f t="shared" si="0"/>
        <v>NO</v>
      </c>
      <c r="M27" s="372" t="str">
        <f t="shared" si="1"/>
        <v/>
      </c>
      <c r="N27" s="372" t="str">
        <f t="shared" si="2"/>
        <v/>
      </c>
      <c r="O27" s="372" t="str">
        <f t="shared" si="3"/>
        <v/>
      </c>
    </row>
    <row r="28" spans="1:15" ht="12.75" customHeight="1" x14ac:dyDescent="0.2">
      <c r="A28" s="504"/>
      <c r="B28" s="404"/>
      <c r="C28" s="404"/>
      <c r="D28" s="407"/>
      <c r="E28" s="407"/>
      <c r="F28" s="404"/>
      <c r="G28" s="869"/>
      <c r="H28" s="870"/>
      <c r="I28" s="357" t="s">
        <v>478</v>
      </c>
      <c r="J28" s="409">
        <v>14</v>
      </c>
      <c r="L28" s="372" t="str">
        <f t="shared" si="0"/>
        <v>NO</v>
      </c>
      <c r="M28" s="372" t="str">
        <f t="shared" si="1"/>
        <v/>
      </c>
      <c r="N28" s="372" t="str">
        <f t="shared" si="2"/>
        <v/>
      </c>
      <c r="O28" s="372" t="str">
        <f t="shared" si="3"/>
        <v/>
      </c>
    </row>
    <row r="29" spans="1:15" ht="12.75" customHeight="1" x14ac:dyDescent="0.2">
      <c r="A29" s="504"/>
      <c r="B29" s="404"/>
      <c r="C29" s="404"/>
      <c r="D29" s="407"/>
      <c r="E29" s="407"/>
      <c r="F29" s="404"/>
      <c r="G29" s="869"/>
      <c r="H29" s="870"/>
      <c r="I29" s="357" t="s">
        <v>478</v>
      </c>
      <c r="J29" s="409">
        <v>15</v>
      </c>
      <c r="L29" s="372" t="str">
        <f t="shared" si="0"/>
        <v>NO</v>
      </c>
      <c r="M29" s="372" t="str">
        <f t="shared" si="1"/>
        <v/>
      </c>
      <c r="N29" s="372" t="str">
        <f t="shared" si="2"/>
        <v/>
      </c>
      <c r="O29" s="372" t="str">
        <f t="shared" si="3"/>
        <v/>
      </c>
    </row>
    <row r="30" spans="1:15" ht="12.75" customHeight="1" x14ac:dyDescent="0.2">
      <c r="A30" s="504"/>
      <c r="B30" s="404"/>
      <c r="C30" s="404"/>
      <c r="D30" s="407"/>
      <c r="E30" s="407"/>
      <c r="F30" s="404"/>
      <c r="G30" s="869"/>
      <c r="H30" s="870"/>
      <c r="I30" s="357" t="s">
        <v>478</v>
      </c>
      <c r="J30" s="409">
        <v>16</v>
      </c>
      <c r="L30" s="372" t="str">
        <f t="shared" si="0"/>
        <v>NO</v>
      </c>
      <c r="M30" s="372" t="str">
        <f t="shared" si="1"/>
        <v/>
      </c>
      <c r="N30" s="372" t="str">
        <f t="shared" si="2"/>
        <v/>
      </c>
      <c r="O30" s="372" t="str">
        <f t="shared" si="3"/>
        <v/>
      </c>
    </row>
    <row r="31" spans="1:15" ht="12.75" customHeight="1" x14ac:dyDescent="0.2">
      <c r="A31" s="504"/>
      <c r="B31" s="404"/>
      <c r="C31" s="404"/>
      <c r="D31" s="407"/>
      <c r="E31" s="407"/>
      <c r="F31" s="404"/>
      <c r="G31" s="869"/>
      <c r="H31" s="870"/>
      <c r="I31" s="357" t="s">
        <v>478</v>
      </c>
      <c r="J31" s="409">
        <v>17</v>
      </c>
      <c r="L31" s="372" t="str">
        <f t="shared" si="0"/>
        <v>NO</v>
      </c>
      <c r="M31" s="372" t="str">
        <f t="shared" si="1"/>
        <v/>
      </c>
      <c r="N31" s="372" t="str">
        <f t="shared" si="2"/>
        <v/>
      </c>
      <c r="O31" s="372" t="str">
        <f t="shared" si="3"/>
        <v/>
      </c>
    </row>
    <row r="32" spans="1:15" ht="12.75" customHeight="1" x14ac:dyDescent="0.2">
      <c r="A32" s="504"/>
      <c r="B32" s="404"/>
      <c r="C32" s="404"/>
      <c r="D32" s="407"/>
      <c r="E32" s="407"/>
      <c r="F32" s="404"/>
      <c r="G32" s="869"/>
      <c r="H32" s="870"/>
      <c r="I32" s="357" t="s">
        <v>478</v>
      </c>
      <c r="J32" s="409">
        <v>18</v>
      </c>
      <c r="L32" s="372" t="str">
        <f t="shared" si="0"/>
        <v>NO</v>
      </c>
      <c r="M32" s="372" t="str">
        <f t="shared" si="1"/>
        <v/>
      </c>
      <c r="N32" s="372" t="str">
        <f t="shared" si="2"/>
        <v/>
      </c>
      <c r="O32" s="372" t="str">
        <f t="shared" si="3"/>
        <v/>
      </c>
    </row>
    <row r="33" spans="1:15" ht="12.75" customHeight="1" x14ac:dyDescent="0.2">
      <c r="A33" s="504"/>
      <c r="B33" s="404"/>
      <c r="C33" s="404"/>
      <c r="D33" s="407"/>
      <c r="E33" s="407"/>
      <c r="F33" s="404"/>
      <c r="G33" s="869"/>
      <c r="H33" s="870"/>
      <c r="I33" s="357" t="s">
        <v>478</v>
      </c>
      <c r="J33" s="409">
        <v>19</v>
      </c>
      <c r="L33" s="372" t="str">
        <f t="shared" si="0"/>
        <v>NO</v>
      </c>
      <c r="M33" s="372" t="str">
        <f t="shared" si="1"/>
        <v/>
      </c>
      <c r="N33" s="372" t="str">
        <f t="shared" si="2"/>
        <v/>
      </c>
      <c r="O33" s="372" t="str">
        <f t="shared" si="3"/>
        <v/>
      </c>
    </row>
    <row r="34" spans="1:15" ht="12.75" customHeight="1" x14ac:dyDescent="0.2">
      <c r="A34" s="504"/>
      <c r="B34" s="404"/>
      <c r="C34" s="404"/>
      <c r="D34" s="407"/>
      <c r="E34" s="407"/>
      <c r="F34" s="404"/>
      <c r="G34" s="869"/>
      <c r="H34" s="870"/>
      <c r="I34" s="357" t="s">
        <v>478</v>
      </c>
      <c r="J34" s="409">
        <v>20</v>
      </c>
      <c r="L34" s="372" t="str">
        <f t="shared" si="0"/>
        <v>NO</v>
      </c>
      <c r="M34" s="372" t="str">
        <f t="shared" si="1"/>
        <v/>
      </c>
      <c r="N34" s="372" t="str">
        <f t="shared" si="2"/>
        <v/>
      </c>
      <c r="O34" s="372" t="str">
        <f t="shared" si="3"/>
        <v/>
      </c>
    </row>
    <row r="35" spans="1:15" ht="12.75" customHeight="1" x14ac:dyDescent="0.2">
      <c r="A35" s="504"/>
      <c r="B35" s="404"/>
      <c r="C35" s="404"/>
      <c r="D35" s="407"/>
      <c r="E35" s="407"/>
      <c r="F35" s="404"/>
      <c r="G35" s="869"/>
      <c r="H35" s="870"/>
      <c r="I35" s="357" t="s">
        <v>478</v>
      </c>
      <c r="J35" s="409">
        <v>21</v>
      </c>
      <c r="L35" s="372" t="str">
        <f t="shared" si="0"/>
        <v>NO</v>
      </c>
      <c r="M35" s="372" t="str">
        <f t="shared" si="1"/>
        <v/>
      </c>
      <c r="N35" s="372" t="str">
        <f t="shared" si="2"/>
        <v/>
      </c>
      <c r="O35" s="372" t="str">
        <f t="shared" si="3"/>
        <v/>
      </c>
    </row>
    <row r="36" spans="1:15" ht="12.75" customHeight="1" x14ac:dyDescent="0.2">
      <c r="A36" s="504"/>
      <c r="B36" s="404"/>
      <c r="C36" s="404"/>
      <c r="D36" s="407"/>
      <c r="E36" s="407"/>
      <c r="F36" s="404"/>
      <c r="G36" s="869"/>
      <c r="H36" s="870"/>
      <c r="I36" s="357" t="s">
        <v>478</v>
      </c>
      <c r="J36" s="409">
        <v>22</v>
      </c>
      <c r="L36" s="372" t="str">
        <f t="shared" si="0"/>
        <v>NO</v>
      </c>
      <c r="M36" s="372" t="str">
        <f t="shared" si="1"/>
        <v/>
      </c>
      <c r="N36" s="372" t="str">
        <f t="shared" si="2"/>
        <v/>
      </c>
      <c r="O36" s="372" t="str">
        <f t="shared" si="3"/>
        <v/>
      </c>
    </row>
    <row r="37" spans="1:15" ht="12.75" customHeight="1" x14ac:dyDescent="0.2">
      <c r="A37" s="504"/>
      <c r="B37" s="404"/>
      <c r="C37" s="404"/>
      <c r="D37" s="407"/>
      <c r="E37" s="407"/>
      <c r="F37" s="404"/>
      <c r="G37" s="869"/>
      <c r="H37" s="870"/>
      <c r="I37" s="357" t="s">
        <v>478</v>
      </c>
      <c r="J37" s="409">
        <v>23</v>
      </c>
      <c r="L37" s="372" t="str">
        <f t="shared" si="0"/>
        <v>NO</v>
      </c>
      <c r="M37" s="372" t="str">
        <f t="shared" si="1"/>
        <v/>
      </c>
      <c r="N37" s="372" t="str">
        <f t="shared" si="2"/>
        <v/>
      </c>
      <c r="O37" s="372" t="str">
        <f t="shared" si="3"/>
        <v/>
      </c>
    </row>
    <row r="38" spans="1:15" ht="12.75" customHeight="1" x14ac:dyDescent="0.2">
      <c r="A38" s="504"/>
      <c r="B38" s="404"/>
      <c r="C38" s="404"/>
      <c r="D38" s="407"/>
      <c r="E38" s="407"/>
      <c r="F38" s="404"/>
      <c r="G38" s="869"/>
      <c r="H38" s="870"/>
      <c r="I38" s="357" t="s">
        <v>478</v>
      </c>
      <c r="J38" s="409">
        <v>24</v>
      </c>
      <c r="L38" s="372" t="str">
        <f t="shared" si="0"/>
        <v>NO</v>
      </c>
      <c r="M38" s="372" t="str">
        <f t="shared" si="1"/>
        <v/>
      </c>
      <c r="N38" s="372" t="str">
        <f t="shared" si="2"/>
        <v/>
      </c>
      <c r="O38" s="372" t="str">
        <f t="shared" si="3"/>
        <v/>
      </c>
    </row>
    <row r="39" spans="1:15" ht="12.75" customHeight="1" x14ac:dyDescent="0.2">
      <c r="A39" s="504"/>
      <c r="B39" s="404"/>
      <c r="C39" s="404"/>
      <c r="D39" s="407"/>
      <c r="E39" s="407"/>
      <c r="F39" s="404"/>
      <c r="G39" s="869"/>
      <c r="H39" s="870"/>
      <c r="I39" s="357" t="s">
        <v>478</v>
      </c>
      <c r="J39" s="409">
        <v>25</v>
      </c>
      <c r="L39" s="372" t="str">
        <f t="shared" si="0"/>
        <v>NO</v>
      </c>
      <c r="M39" s="372" t="str">
        <f t="shared" si="1"/>
        <v/>
      </c>
      <c r="N39" s="372" t="str">
        <f t="shared" si="2"/>
        <v/>
      </c>
      <c r="O39" s="372" t="str">
        <f t="shared" si="3"/>
        <v/>
      </c>
    </row>
    <row r="40" spans="1:15" ht="12.75" customHeight="1" x14ac:dyDescent="0.2">
      <c r="A40" s="504"/>
      <c r="B40" s="404"/>
      <c r="C40" s="404"/>
      <c r="D40" s="407"/>
      <c r="E40" s="407"/>
      <c r="F40" s="404"/>
      <c r="G40" s="869"/>
      <c r="H40" s="870"/>
      <c r="I40" s="357" t="s">
        <v>478</v>
      </c>
      <c r="J40" s="409">
        <v>26</v>
      </c>
      <c r="L40" s="372" t="str">
        <f t="shared" si="0"/>
        <v>NO</v>
      </c>
      <c r="M40" s="372" t="str">
        <f t="shared" si="1"/>
        <v/>
      </c>
      <c r="N40" s="372" t="str">
        <f t="shared" si="2"/>
        <v/>
      </c>
      <c r="O40" s="372" t="str">
        <f t="shared" si="3"/>
        <v/>
      </c>
    </row>
    <row r="41" spans="1:15" ht="12.75" customHeight="1" x14ac:dyDescent="0.2">
      <c r="A41" s="504"/>
      <c r="B41" s="404"/>
      <c r="C41" s="404"/>
      <c r="D41" s="407"/>
      <c r="E41" s="407"/>
      <c r="F41" s="404"/>
      <c r="G41" s="869"/>
      <c r="H41" s="870"/>
      <c r="I41" s="357" t="s">
        <v>478</v>
      </c>
      <c r="J41" s="409">
        <v>27</v>
      </c>
      <c r="L41" s="372" t="str">
        <f t="shared" si="0"/>
        <v>NO</v>
      </c>
      <c r="M41" s="372" t="str">
        <f t="shared" si="1"/>
        <v/>
      </c>
      <c r="N41" s="372" t="str">
        <f t="shared" si="2"/>
        <v/>
      </c>
      <c r="O41" s="372" t="str">
        <f t="shared" si="3"/>
        <v/>
      </c>
    </row>
    <row r="42" spans="1:15" ht="12.75" customHeight="1" x14ac:dyDescent="0.2">
      <c r="A42" s="504"/>
      <c r="B42" s="404"/>
      <c r="C42" s="404"/>
      <c r="D42" s="407"/>
      <c r="E42" s="407"/>
      <c r="F42" s="404"/>
      <c r="G42" s="869"/>
      <c r="H42" s="870"/>
      <c r="I42" s="357" t="s">
        <v>478</v>
      </c>
      <c r="J42" s="409">
        <v>28</v>
      </c>
      <c r="L42" s="372" t="str">
        <f t="shared" si="0"/>
        <v>NO</v>
      </c>
      <c r="M42" s="372" t="str">
        <f t="shared" si="1"/>
        <v/>
      </c>
      <c r="N42" s="372" t="str">
        <f t="shared" si="2"/>
        <v/>
      </c>
      <c r="O42" s="372" t="str">
        <f t="shared" si="3"/>
        <v/>
      </c>
    </row>
    <row r="43" spans="1:15" ht="12.75" customHeight="1" x14ac:dyDescent="0.2">
      <c r="A43" s="504"/>
      <c r="B43" s="404"/>
      <c r="C43" s="404"/>
      <c r="D43" s="407"/>
      <c r="E43" s="407"/>
      <c r="F43" s="404"/>
      <c r="G43" s="869"/>
      <c r="H43" s="870"/>
      <c r="I43" s="357" t="s">
        <v>478</v>
      </c>
      <c r="J43" s="409">
        <v>29</v>
      </c>
      <c r="L43" s="372" t="str">
        <f t="shared" si="0"/>
        <v>NO</v>
      </c>
      <c r="M43" s="372" t="str">
        <f t="shared" si="1"/>
        <v/>
      </c>
      <c r="N43" s="372" t="str">
        <f t="shared" si="2"/>
        <v/>
      </c>
      <c r="O43" s="372" t="str">
        <f t="shared" si="3"/>
        <v/>
      </c>
    </row>
    <row r="44" spans="1:15" ht="12.75" customHeight="1" x14ac:dyDescent="0.2">
      <c r="A44" s="505"/>
      <c r="B44" s="408"/>
      <c r="C44" s="408"/>
      <c r="D44" s="405"/>
      <c r="E44" s="405"/>
      <c r="F44" s="408"/>
      <c r="G44" s="860"/>
      <c r="H44" s="861"/>
      <c r="I44" s="357" t="s">
        <v>478</v>
      </c>
      <c r="J44" s="409">
        <v>30</v>
      </c>
      <c r="L44" s="372" t="str">
        <f t="shared" si="0"/>
        <v>NO</v>
      </c>
      <c r="M44" s="372" t="str">
        <f t="shared" si="1"/>
        <v/>
      </c>
      <c r="N44" s="372" t="str">
        <f t="shared" si="2"/>
        <v/>
      </c>
      <c r="O44" s="372" t="str">
        <f t="shared" si="3"/>
        <v/>
      </c>
    </row>
    <row r="45" spans="1:15" ht="12.75" customHeight="1" x14ac:dyDescent="0.2">
      <c r="A45" s="460"/>
      <c r="B45" s="461"/>
      <c r="C45" s="461"/>
      <c r="D45" s="461"/>
      <c r="E45" s="461"/>
      <c r="F45" s="461"/>
      <c r="G45" s="461"/>
      <c r="H45" s="461"/>
      <c r="I45" s="357"/>
      <c r="J45" s="358"/>
      <c r="L45" s="376"/>
      <c r="M45" s="377"/>
      <c r="N45" s="377"/>
      <c r="O45" s="377"/>
    </row>
    <row r="46" spans="1:15" ht="12.75" hidden="1" customHeight="1" x14ac:dyDescent="0.2">
      <c r="A46" s="357" t="s">
        <v>124</v>
      </c>
      <c r="B46" s="370" t="s">
        <v>417</v>
      </c>
      <c r="C46" s="370" t="s">
        <v>418</v>
      </c>
      <c r="D46" s="370" t="s">
        <v>419</v>
      </c>
      <c r="E46" s="370" t="s">
        <v>420</v>
      </c>
      <c r="F46" s="370" t="s">
        <v>421</v>
      </c>
      <c r="G46" s="433" t="s">
        <v>429</v>
      </c>
      <c r="H46" s="378" t="s">
        <v>87</v>
      </c>
      <c r="I46" s="357" t="s">
        <v>11</v>
      </c>
      <c r="J46" s="358" t="s">
        <v>0</v>
      </c>
      <c r="L46" s="425" t="s">
        <v>132</v>
      </c>
      <c r="M46" s="426"/>
      <c r="N46" s="426"/>
      <c r="O46" s="426"/>
    </row>
    <row r="47" spans="1:15" ht="15" x14ac:dyDescent="0.2">
      <c r="A47" s="862" t="s">
        <v>458</v>
      </c>
      <c r="B47" s="863"/>
      <c r="C47" s="863"/>
      <c r="D47" s="863"/>
      <c r="E47" s="863"/>
      <c r="F47" s="863"/>
      <c r="G47" s="863"/>
      <c r="H47" s="864"/>
      <c r="I47" s="357"/>
      <c r="J47" s="358"/>
      <c r="L47" s="427" t="s">
        <v>143</v>
      </c>
      <c r="M47" s="429" t="s">
        <v>145</v>
      </c>
      <c r="N47" s="429" t="s">
        <v>422</v>
      </c>
      <c r="O47" s="429" t="s">
        <v>132</v>
      </c>
    </row>
    <row r="48" spans="1:15" ht="43.5" customHeight="1" x14ac:dyDescent="0.2">
      <c r="A48" s="389" t="s">
        <v>430</v>
      </c>
      <c r="B48" s="390" t="s">
        <v>423</v>
      </c>
      <c r="C48" s="431" t="s">
        <v>424</v>
      </c>
      <c r="D48" s="389" t="s">
        <v>425</v>
      </c>
      <c r="E48" s="432" t="s">
        <v>320</v>
      </c>
      <c r="F48" s="432" t="s">
        <v>426</v>
      </c>
      <c r="G48" s="432" t="s">
        <v>431</v>
      </c>
      <c r="H48" s="389" t="s">
        <v>427</v>
      </c>
      <c r="I48" s="357"/>
      <c r="J48" s="358"/>
      <c r="L48" s="428"/>
      <c r="M48" s="430"/>
      <c r="N48" s="430"/>
      <c r="O48" s="430"/>
    </row>
    <row r="49" spans="1:15" ht="15" customHeight="1" x14ac:dyDescent="0.2">
      <c r="A49" s="503"/>
      <c r="B49" s="371"/>
      <c r="C49" s="371"/>
      <c r="D49" s="379"/>
      <c r="E49" s="379"/>
      <c r="F49" s="379"/>
      <c r="G49" s="380"/>
      <c r="H49" s="371"/>
      <c r="I49" s="357" t="s">
        <v>479</v>
      </c>
      <c r="J49" s="358">
        <v>1</v>
      </c>
      <c r="L49" s="372" t="str">
        <f>IF(COUNTBLANK(A49:H49)=8,"NO","YES")</f>
        <v>NO</v>
      </c>
      <c r="M49" s="372" t="str">
        <f>IF(L49="NO","",IF(COUNTBLANK(A49:G49)=0,"YES","NO"))</f>
        <v/>
      </c>
      <c r="N49" s="372" t="str">
        <f>IF(COUNTBLANK($A49)=1,"",IF(ISNUMBER($A49)=TRUE,IF(OR((LEN(A49)=5),(LEN(A49)=6)),"YES","NO"),"NO"))</f>
        <v/>
      </c>
      <c r="O49" s="372" t="str">
        <f>IF(OR(M49="NO",N49="NO"),"FLAG","")</f>
        <v/>
      </c>
    </row>
    <row r="50" spans="1:15" x14ac:dyDescent="0.2">
      <c r="A50" s="504"/>
      <c r="B50" s="373"/>
      <c r="C50" s="373"/>
      <c r="D50" s="381"/>
      <c r="E50" s="381"/>
      <c r="F50" s="381"/>
      <c r="G50" s="382"/>
      <c r="H50" s="373"/>
      <c r="I50" s="357" t="s">
        <v>479</v>
      </c>
      <c r="J50" s="358">
        <v>2</v>
      </c>
      <c r="L50" s="372" t="str">
        <f t="shared" ref="L50:L78" si="4">IF(COUNTBLANK(A50:H50)=8,"NO","YES")</f>
        <v>NO</v>
      </c>
      <c r="M50" s="372" t="str">
        <f t="shared" ref="M50:M78" si="5">IF(L50="NO","",IF(COUNTBLANK(A50:G50)=0,"YES","NO"))</f>
        <v/>
      </c>
      <c r="N50" s="372" t="str">
        <f t="shared" ref="N50:N78" si="6">IF(COUNTBLANK($A50)=1,"",IF(ISNUMBER($A50)=TRUE,IF(OR((LEN(A50)=5),(LEN(A50)=6)),"YES","NO"),"NO"))</f>
        <v/>
      </c>
      <c r="O50" s="372" t="str">
        <f t="shared" ref="O50:O78" si="7">IF(OR(M50="NO",N50="NO"),"FLAG","")</f>
        <v/>
      </c>
    </row>
    <row r="51" spans="1:15" x14ac:dyDescent="0.2">
      <c r="A51" s="504"/>
      <c r="B51" s="373"/>
      <c r="C51" s="373"/>
      <c r="D51" s="381"/>
      <c r="E51" s="381"/>
      <c r="F51" s="381"/>
      <c r="G51" s="382"/>
      <c r="H51" s="373"/>
      <c r="I51" s="357" t="s">
        <v>479</v>
      </c>
      <c r="J51" s="358">
        <v>3</v>
      </c>
      <c r="L51" s="372" t="str">
        <f t="shared" si="4"/>
        <v>NO</v>
      </c>
      <c r="M51" s="372" t="str">
        <f t="shared" si="5"/>
        <v/>
      </c>
      <c r="N51" s="372" t="str">
        <f t="shared" si="6"/>
        <v/>
      </c>
      <c r="O51" s="372" t="str">
        <f t="shared" si="7"/>
        <v/>
      </c>
    </row>
    <row r="52" spans="1:15" x14ac:dyDescent="0.2">
      <c r="A52" s="504"/>
      <c r="B52" s="373"/>
      <c r="C52" s="373"/>
      <c r="D52" s="381"/>
      <c r="E52" s="381"/>
      <c r="F52" s="381"/>
      <c r="G52" s="382"/>
      <c r="H52" s="373"/>
      <c r="I52" s="357" t="s">
        <v>479</v>
      </c>
      <c r="J52" s="358">
        <v>4</v>
      </c>
      <c r="L52" s="372" t="str">
        <f t="shared" si="4"/>
        <v>NO</v>
      </c>
      <c r="M52" s="372" t="str">
        <f t="shared" si="5"/>
        <v/>
      </c>
      <c r="N52" s="372" t="str">
        <f t="shared" si="6"/>
        <v/>
      </c>
      <c r="O52" s="372" t="str">
        <f t="shared" si="7"/>
        <v/>
      </c>
    </row>
    <row r="53" spans="1:15" x14ac:dyDescent="0.2">
      <c r="A53" s="504"/>
      <c r="B53" s="373"/>
      <c r="C53" s="373"/>
      <c r="D53" s="381"/>
      <c r="E53" s="381"/>
      <c r="F53" s="381"/>
      <c r="G53" s="382"/>
      <c r="H53" s="373"/>
      <c r="I53" s="357" t="s">
        <v>479</v>
      </c>
      <c r="J53" s="358">
        <v>5</v>
      </c>
      <c r="L53" s="372" t="str">
        <f t="shared" si="4"/>
        <v>NO</v>
      </c>
      <c r="M53" s="372" t="str">
        <f t="shared" si="5"/>
        <v/>
      </c>
      <c r="N53" s="372" t="str">
        <f t="shared" si="6"/>
        <v/>
      </c>
      <c r="O53" s="372" t="str">
        <f t="shared" si="7"/>
        <v/>
      </c>
    </row>
    <row r="54" spans="1:15" x14ac:dyDescent="0.2">
      <c r="A54" s="504"/>
      <c r="B54" s="373"/>
      <c r="C54" s="373"/>
      <c r="D54" s="381"/>
      <c r="E54" s="381"/>
      <c r="F54" s="381"/>
      <c r="G54" s="382"/>
      <c r="H54" s="373"/>
      <c r="I54" s="357" t="s">
        <v>479</v>
      </c>
      <c r="J54" s="358">
        <v>6</v>
      </c>
      <c r="L54" s="372" t="str">
        <f t="shared" si="4"/>
        <v>NO</v>
      </c>
      <c r="M54" s="372" t="str">
        <f t="shared" si="5"/>
        <v/>
      </c>
      <c r="N54" s="372" t="str">
        <f t="shared" si="6"/>
        <v/>
      </c>
      <c r="O54" s="372" t="str">
        <f t="shared" si="7"/>
        <v/>
      </c>
    </row>
    <row r="55" spans="1:15" x14ac:dyDescent="0.2">
      <c r="A55" s="504"/>
      <c r="B55" s="373"/>
      <c r="C55" s="373"/>
      <c r="D55" s="381"/>
      <c r="E55" s="381"/>
      <c r="F55" s="381"/>
      <c r="G55" s="382"/>
      <c r="H55" s="373"/>
      <c r="I55" s="357" t="s">
        <v>479</v>
      </c>
      <c r="J55" s="358">
        <v>7</v>
      </c>
      <c r="L55" s="372" t="str">
        <f t="shared" si="4"/>
        <v>NO</v>
      </c>
      <c r="M55" s="372" t="str">
        <f t="shared" si="5"/>
        <v/>
      </c>
      <c r="N55" s="372" t="str">
        <f t="shared" si="6"/>
        <v/>
      </c>
      <c r="O55" s="372" t="str">
        <f t="shared" si="7"/>
        <v/>
      </c>
    </row>
    <row r="56" spans="1:15" x14ac:dyDescent="0.2">
      <c r="A56" s="504"/>
      <c r="B56" s="373"/>
      <c r="C56" s="373"/>
      <c r="D56" s="381"/>
      <c r="E56" s="381"/>
      <c r="F56" s="381"/>
      <c r="G56" s="382"/>
      <c r="H56" s="373"/>
      <c r="I56" s="357" t="s">
        <v>479</v>
      </c>
      <c r="J56" s="358">
        <v>8</v>
      </c>
      <c r="L56" s="372" t="str">
        <f t="shared" si="4"/>
        <v>NO</v>
      </c>
      <c r="M56" s="372" t="str">
        <f t="shared" si="5"/>
        <v/>
      </c>
      <c r="N56" s="372" t="str">
        <f t="shared" si="6"/>
        <v/>
      </c>
      <c r="O56" s="372" t="str">
        <f t="shared" si="7"/>
        <v/>
      </c>
    </row>
    <row r="57" spans="1:15" x14ac:dyDescent="0.2">
      <c r="A57" s="504"/>
      <c r="B57" s="373"/>
      <c r="C57" s="373"/>
      <c r="D57" s="381"/>
      <c r="E57" s="381"/>
      <c r="F57" s="381"/>
      <c r="G57" s="382"/>
      <c r="H57" s="373"/>
      <c r="I57" s="357" t="s">
        <v>479</v>
      </c>
      <c r="J57" s="358">
        <v>9</v>
      </c>
      <c r="L57" s="372" t="str">
        <f t="shared" si="4"/>
        <v>NO</v>
      </c>
      <c r="M57" s="372" t="str">
        <f t="shared" si="5"/>
        <v/>
      </c>
      <c r="N57" s="372" t="str">
        <f t="shared" si="6"/>
        <v/>
      </c>
      <c r="O57" s="372" t="str">
        <f t="shared" si="7"/>
        <v/>
      </c>
    </row>
    <row r="58" spans="1:15" x14ac:dyDescent="0.2">
      <c r="A58" s="504"/>
      <c r="B58" s="373"/>
      <c r="C58" s="373"/>
      <c r="D58" s="381"/>
      <c r="E58" s="381"/>
      <c r="F58" s="381"/>
      <c r="G58" s="382"/>
      <c r="H58" s="373"/>
      <c r="I58" s="357" t="s">
        <v>479</v>
      </c>
      <c r="J58" s="358">
        <v>10</v>
      </c>
      <c r="L58" s="372" t="str">
        <f t="shared" si="4"/>
        <v>NO</v>
      </c>
      <c r="M58" s="372" t="str">
        <f t="shared" si="5"/>
        <v/>
      </c>
      <c r="N58" s="372" t="str">
        <f t="shared" si="6"/>
        <v/>
      </c>
      <c r="O58" s="372" t="str">
        <f t="shared" si="7"/>
        <v/>
      </c>
    </row>
    <row r="59" spans="1:15" x14ac:dyDescent="0.2">
      <c r="A59" s="504"/>
      <c r="B59" s="373"/>
      <c r="C59" s="373"/>
      <c r="D59" s="381"/>
      <c r="E59" s="381"/>
      <c r="F59" s="381"/>
      <c r="G59" s="382"/>
      <c r="H59" s="373"/>
      <c r="I59" s="357" t="s">
        <v>479</v>
      </c>
      <c r="J59" s="358">
        <v>11</v>
      </c>
      <c r="L59" s="372" t="str">
        <f t="shared" si="4"/>
        <v>NO</v>
      </c>
      <c r="M59" s="372" t="str">
        <f t="shared" si="5"/>
        <v/>
      </c>
      <c r="N59" s="372" t="str">
        <f t="shared" si="6"/>
        <v/>
      </c>
      <c r="O59" s="372" t="str">
        <f t="shared" si="7"/>
        <v/>
      </c>
    </row>
    <row r="60" spans="1:15" x14ac:dyDescent="0.2">
      <c r="A60" s="504"/>
      <c r="B60" s="373"/>
      <c r="C60" s="373"/>
      <c r="D60" s="381"/>
      <c r="E60" s="381"/>
      <c r="F60" s="381"/>
      <c r="G60" s="382"/>
      <c r="H60" s="373"/>
      <c r="I60" s="357" t="s">
        <v>479</v>
      </c>
      <c r="J60" s="358">
        <v>12</v>
      </c>
      <c r="L60" s="372" t="str">
        <f t="shared" si="4"/>
        <v>NO</v>
      </c>
      <c r="M60" s="372" t="str">
        <f t="shared" si="5"/>
        <v/>
      </c>
      <c r="N60" s="372" t="str">
        <f t="shared" si="6"/>
        <v/>
      </c>
      <c r="O60" s="372" t="str">
        <f t="shared" si="7"/>
        <v/>
      </c>
    </row>
    <row r="61" spans="1:15" x14ac:dyDescent="0.2">
      <c r="A61" s="504"/>
      <c r="B61" s="373"/>
      <c r="C61" s="373"/>
      <c r="D61" s="381"/>
      <c r="E61" s="381"/>
      <c r="F61" s="381"/>
      <c r="G61" s="382"/>
      <c r="H61" s="373"/>
      <c r="I61" s="357" t="s">
        <v>479</v>
      </c>
      <c r="J61" s="358">
        <v>13</v>
      </c>
      <c r="L61" s="372" t="str">
        <f t="shared" si="4"/>
        <v>NO</v>
      </c>
      <c r="M61" s="372" t="str">
        <f t="shared" si="5"/>
        <v/>
      </c>
      <c r="N61" s="372" t="str">
        <f t="shared" si="6"/>
        <v/>
      </c>
      <c r="O61" s="372" t="str">
        <f t="shared" si="7"/>
        <v/>
      </c>
    </row>
    <row r="62" spans="1:15" x14ac:dyDescent="0.2">
      <c r="A62" s="504"/>
      <c r="B62" s="373"/>
      <c r="C62" s="373"/>
      <c r="D62" s="381"/>
      <c r="E62" s="381"/>
      <c r="F62" s="381"/>
      <c r="G62" s="382"/>
      <c r="H62" s="373"/>
      <c r="I62" s="357" t="s">
        <v>479</v>
      </c>
      <c r="J62" s="358">
        <v>14</v>
      </c>
      <c r="L62" s="372" t="str">
        <f t="shared" si="4"/>
        <v>NO</v>
      </c>
      <c r="M62" s="372" t="str">
        <f t="shared" si="5"/>
        <v/>
      </c>
      <c r="N62" s="372" t="str">
        <f t="shared" si="6"/>
        <v/>
      </c>
      <c r="O62" s="372" t="str">
        <f t="shared" si="7"/>
        <v/>
      </c>
    </row>
    <row r="63" spans="1:15" x14ac:dyDescent="0.2">
      <c r="A63" s="504"/>
      <c r="B63" s="373"/>
      <c r="C63" s="373"/>
      <c r="D63" s="381"/>
      <c r="E63" s="381"/>
      <c r="F63" s="381"/>
      <c r="G63" s="382"/>
      <c r="H63" s="373"/>
      <c r="I63" s="357" t="s">
        <v>479</v>
      </c>
      <c r="J63" s="358">
        <v>15</v>
      </c>
      <c r="L63" s="372" t="str">
        <f t="shared" si="4"/>
        <v>NO</v>
      </c>
      <c r="M63" s="372" t="str">
        <f t="shared" si="5"/>
        <v/>
      </c>
      <c r="N63" s="372" t="str">
        <f t="shared" si="6"/>
        <v/>
      </c>
      <c r="O63" s="372" t="str">
        <f t="shared" si="7"/>
        <v/>
      </c>
    </row>
    <row r="64" spans="1:15" x14ac:dyDescent="0.2">
      <c r="A64" s="504"/>
      <c r="B64" s="373"/>
      <c r="C64" s="373"/>
      <c r="D64" s="381"/>
      <c r="E64" s="381"/>
      <c r="F64" s="381"/>
      <c r="G64" s="382"/>
      <c r="H64" s="373"/>
      <c r="I64" s="357" t="s">
        <v>479</v>
      </c>
      <c r="J64" s="358">
        <v>16</v>
      </c>
      <c r="L64" s="372" t="str">
        <f t="shared" si="4"/>
        <v>NO</v>
      </c>
      <c r="M64" s="372" t="str">
        <f t="shared" si="5"/>
        <v/>
      </c>
      <c r="N64" s="372" t="str">
        <f t="shared" si="6"/>
        <v/>
      </c>
      <c r="O64" s="372" t="str">
        <f t="shared" si="7"/>
        <v/>
      </c>
    </row>
    <row r="65" spans="1:27" x14ac:dyDescent="0.2">
      <c r="A65" s="504"/>
      <c r="B65" s="373"/>
      <c r="C65" s="373"/>
      <c r="D65" s="381"/>
      <c r="E65" s="381"/>
      <c r="F65" s="381"/>
      <c r="G65" s="382"/>
      <c r="H65" s="373"/>
      <c r="I65" s="357" t="s">
        <v>479</v>
      </c>
      <c r="J65" s="358">
        <v>17</v>
      </c>
      <c r="L65" s="372" t="str">
        <f t="shared" si="4"/>
        <v>NO</v>
      </c>
      <c r="M65" s="372" t="str">
        <f t="shared" si="5"/>
        <v/>
      </c>
      <c r="N65" s="372" t="str">
        <f t="shared" si="6"/>
        <v/>
      </c>
      <c r="O65" s="372" t="str">
        <f t="shared" si="7"/>
        <v/>
      </c>
    </row>
    <row r="66" spans="1:27" x14ac:dyDescent="0.2">
      <c r="A66" s="504"/>
      <c r="B66" s="373"/>
      <c r="C66" s="373"/>
      <c r="D66" s="381"/>
      <c r="E66" s="381"/>
      <c r="F66" s="381"/>
      <c r="G66" s="382"/>
      <c r="H66" s="373"/>
      <c r="I66" s="357" t="s">
        <v>479</v>
      </c>
      <c r="J66" s="358">
        <v>18</v>
      </c>
      <c r="L66" s="372" t="str">
        <f t="shared" si="4"/>
        <v>NO</v>
      </c>
      <c r="M66" s="372" t="str">
        <f t="shared" si="5"/>
        <v/>
      </c>
      <c r="N66" s="372" t="str">
        <f t="shared" si="6"/>
        <v/>
      </c>
      <c r="O66" s="372" t="str">
        <f t="shared" si="7"/>
        <v/>
      </c>
      <c r="AA66" s="459" t="s">
        <v>433</v>
      </c>
    </row>
    <row r="67" spans="1:27" x14ac:dyDescent="0.2">
      <c r="A67" s="504"/>
      <c r="B67" s="373"/>
      <c r="C67" s="373"/>
      <c r="D67" s="381"/>
      <c r="E67" s="381"/>
      <c r="F67" s="381"/>
      <c r="G67" s="382"/>
      <c r="H67" s="373"/>
      <c r="I67" s="357" t="s">
        <v>479</v>
      </c>
      <c r="J67" s="358">
        <v>19</v>
      </c>
      <c r="L67" s="372" t="str">
        <f t="shared" si="4"/>
        <v>NO</v>
      </c>
      <c r="M67" s="372" t="str">
        <f t="shared" si="5"/>
        <v/>
      </c>
      <c r="N67" s="372" t="str">
        <f t="shared" si="6"/>
        <v/>
      </c>
      <c r="O67" s="372" t="str">
        <f t="shared" si="7"/>
        <v/>
      </c>
    </row>
    <row r="68" spans="1:27" x14ac:dyDescent="0.2">
      <c r="A68" s="504"/>
      <c r="B68" s="373"/>
      <c r="C68" s="373"/>
      <c r="D68" s="381"/>
      <c r="E68" s="381"/>
      <c r="F68" s="381"/>
      <c r="G68" s="382"/>
      <c r="H68" s="373"/>
      <c r="I68" s="357" t="s">
        <v>479</v>
      </c>
      <c r="J68" s="358">
        <v>20</v>
      </c>
      <c r="L68" s="372" t="str">
        <f t="shared" si="4"/>
        <v>NO</v>
      </c>
      <c r="M68" s="372" t="str">
        <f t="shared" si="5"/>
        <v/>
      </c>
      <c r="N68" s="372" t="str">
        <f t="shared" si="6"/>
        <v/>
      </c>
      <c r="O68" s="372" t="str">
        <f t="shared" si="7"/>
        <v/>
      </c>
    </row>
    <row r="69" spans="1:27" x14ac:dyDescent="0.2">
      <c r="A69" s="504"/>
      <c r="B69" s="373"/>
      <c r="C69" s="373"/>
      <c r="D69" s="381"/>
      <c r="E69" s="381"/>
      <c r="F69" s="381"/>
      <c r="G69" s="382"/>
      <c r="H69" s="373"/>
      <c r="I69" s="357" t="s">
        <v>479</v>
      </c>
      <c r="J69" s="358">
        <v>21</v>
      </c>
      <c r="L69" s="372" t="str">
        <f t="shared" si="4"/>
        <v>NO</v>
      </c>
      <c r="M69" s="372" t="str">
        <f t="shared" si="5"/>
        <v/>
      </c>
      <c r="N69" s="372" t="str">
        <f t="shared" si="6"/>
        <v/>
      </c>
      <c r="O69" s="372" t="str">
        <f t="shared" si="7"/>
        <v/>
      </c>
    </row>
    <row r="70" spans="1:27" x14ac:dyDescent="0.2">
      <c r="A70" s="504"/>
      <c r="B70" s="373"/>
      <c r="C70" s="373"/>
      <c r="D70" s="381"/>
      <c r="E70" s="381"/>
      <c r="F70" s="381"/>
      <c r="G70" s="382"/>
      <c r="H70" s="373"/>
      <c r="I70" s="357" t="s">
        <v>479</v>
      </c>
      <c r="J70" s="358">
        <v>22</v>
      </c>
      <c r="L70" s="372" t="str">
        <f t="shared" si="4"/>
        <v>NO</v>
      </c>
      <c r="M70" s="372" t="str">
        <f t="shared" si="5"/>
        <v/>
      </c>
      <c r="N70" s="372" t="str">
        <f t="shared" si="6"/>
        <v/>
      </c>
      <c r="O70" s="372" t="str">
        <f t="shared" si="7"/>
        <v/>
      </c>
    </row>
    <row r="71" spans="1:27" x14ac:dyDescent="0.2">
      <c r="A71" s="504"/>
      <c r="B71" s="373"/>
      <c r="C71" s="373"/>
      <c r="D71" s="381"/>
      <c r="E71" s="381"/>
      <c r="F71" s="381"/>
      <c r="G71" s="382"/>
      <c r="H71" s="373"/>
      <c r="I71" s="357" t="s">
        <v>479</v>
      </c>
      <c r="J71" s="358">
        <v>23</v>
      </c>
      <c r="L71" s="372" t="str">
        <f t="shared" si="4"/>
        <v>NO</v>
      </c>
      <c r="M71" s="372" t="str">
        <f t="shared" si="5"/>
        <v/>
      </c>
      <c r="N71" s="372" t="str">
        <f t="shared" si="6"/>
        <v/>
      </c>
      <c r="O71" s="372" t="str">
        <f t="shared" si="7"/>
        <v/>
      </c>
    </row>
    <row r="72" spans="1:27" x14ac:dyDescent="0.2">
      <c r="A72" s="504"/>
      <c r="B72" s="373"/>
      <c r="C72" s="373"/>
      <c r="D72" s="381"/>
      <c r="E72" s="381"/>
      <c r="F72" s="381"/>
      <c r="G72" s="382"/>
      <c r="H72" s="373"/>
      <c r="I72" s="357" t="s">
        <v>479</v>
      </c>
      <c r="J72" s="358">
        <v>24</v>
      </c>
      <c r="L72" s="372" t="str">
        <f t="shared" si="4"/>
        <v>NO</v>
      </c>
      <c r="M72" s="372" t="str">
        <f t="shared" si="5"/>
        <v/>
      </c>
      <c r="N72" s="372" t="str">
        <f t="shared" si="6"/>
        <v/>
      </c>
      <c r="O72" s="372" t="str">
        <f t="shared" si="7"/>
        <v/>
      </c>
    </row>
    <row r="73" spans="1:27" x14ac:dyDescent="0.2">
      <c r="A73" s="504"/>
      <c r="B73" s="373"/>
      <c r="C73" s="373"/>
      <c r="D73" s="381"/>
      <c r="E73" s="381"/>
      <c r="F73" s="381"/>
      <c r="G73" s="382"/>
      <c r="H73" s="373"/>
      <c r="I73" s="357" t="s">
        <v>479</v>
      </c>
      <c r="J73" s="358">
        <v>25</v>
      </c>
      <c r="L73" s="372" t="str">
        <f t="shared" si="4"/>
        <v>NO</v>
      </c>
      <c r="M73" s="372" t="str">
        <f t="shared" si="5"/>
        <v/>
      </c>
      <c r="N73" s="372" t="str">
        <f t="shared" si="6"/>
        <v/>
      </c>
      <c r="O73" s="372" t="str">
        <f t="shared" si="7"/>
        <v/>
      </c>
    </row>
    <row r="74" spans="1:27" x14ac:dyDescent="0.2">
      <c r="A74" s="504"/>
      <c r="B74" s="373"/>
      <c r="C74" s="373"/>
      <c r="D74" s="381"/>
      <c r="E74" s="381"/>
      <c r="F74" s="381"/>
      <c r="G74" s="382"/>
      <c r="H74" s="373"/>
      <c r="I74" s="357" t="s">
        <v>479</v>
      </c>
      <c r="J74" s="358">
        <v>26</v>
      </c>
      <c r="L74" s="372" t="str">
        <f t="shared" si="4"/>
        <v>NO</v>
      </c>
      <c r="M74" s="372" t="str">
        <f t="shared" si="5"/>
        <v/>
      </c>
      <c r="N74" s="372" t="str">
        <f t="shared" si="6"/>
        <v/>
      </c>
      <c r="O74" s="372" t="str">
        <f t="shared" si="7"/>
        <v/>
      </c>
    </row>
    <row r="75" spans="1:27" x14ac:dyDescent="0.2">
      <c r="A75" s="504"/>
      <c r="B75" s="373"/>
      <c r="C75" s="373"/>
      <c r="D75" s="381"/>
      <c r="E75" s="381"/>
      <c r="F75" s="381"/>
      <c r="G75" s="382"/>
      <c r="H75" s="373"/>
      <c r="I75" s="357" t="s">
        <v>479</v>
      </c>
      <c r="J75" s="358">
        <v>27</v>
      </c>
      <c r="L75" s="372" t="str">
        <f t="shared" si="4"/>
        <v>NO</v>
      </c>
      <c r="M75" s="372" t="str">
        <f t="shared" si="5"/>
        <v/>
      </c>
      <c r="N75" s="372" t="str">
        <f t="shared" si="6"/>
        <v/>
      </c>
      <c r="O75" s="372" t="str">
        <f t="shared" si="7"/>
        <v/>
      </c>
    </row>
    <row r="76" spans="1:27" x14ac:dyDescent="0.2">
      <c r="A76" s="504"/>
      <c r="B76" s="373"/>
      <c r="C76" s="373"/>
      <c r="D76" s="381"/>
      <c r="E76" s="381"/>
      <c r="F76" s="381"/>
      <c r="G76" s="382"/>
      <c r="H76" s="373"/>
      <c r="I76" s="357" t="s">
        <v>479</v>
      </c>
      <c r="J76" s="358">
        <v>28</v>
      </c>
      <c r="L76" s="372" t="str">
        <f t="shared" si="4"/>
        <v>NO</v>
      </c>
      <c r="M76" s="372" t="str">
        <f t="shared" si="5"/>
        <v/>
      </c>
      <c r="N76" s="372" t="str">
        <f t="shared" si="6"/>
        <v/>
      </c>
      <c r="O76" s="372" t="str">
        <f t="shared" si="7"/>
        <v/>
      </c>
    </row>
    <row r="77" spans="1:27" x14ac:dyDescent="0.2">
      <c r="A77" s="504"/>
      <c r="B77" s="373"/>
      <c r="C77" s="373"/>
      <c r="D77" s="381"/>
      <c r="E77" s="381"/>
      <c r="F77" s="381"/>
      <c r="G77" s="382"/>
      <c r="H77" s="373"/>
      <c r="I77" s="357" t="s">
        <v>479</v>
      </c>
      <c r="J77" s="358">
        <v>29</v>
      </c>
      <c r="L77" s="372" t="str">
        <f t="shared" si="4"/>
        <v>NO</v>
      </c>
      <c r="M77" s="372" t="str">
        <f t="shared" si="5"/>
        <v/>
      </c>
      <c r="N77" s="372" t="str">
        <f t="shared" si="6"/>
        <v/>
      </c>
      <c r="O77" s="372" t="str">
        <f t="shared" si="7"/>
        <v/>
      </c>
    </row>
    <row r="78" spans="1:27" x14ac:dyDescent="0.2">
      <c r="A78" s="505"/>
      <c r="B78" s="374"/>
      <c r="C78" s="374"/>
      <c r="D78" s="383"/>
      <c r="E78" s="383"/>
      <c r="F78" s="383"/>
      <c r="G78" s="384"/>
      <c r="H78" s="375"/>
      <c r="I78" s="357" t="s">
        <v>479</v>
      </c>
      <c r="J78" s="358">
        <v>30</v>
      </c>
      <c r="L78" s="372" t="str">
        <f t="shared" si="4"/>
        <v>NO</v>
      </c>
      <c r="M78" s="372" t="str">
        <f t="shared" si="5"/>
        <v/>
      </c>
      <c r="N78" s="372" t="str">
        <f t="shared" si="6"/>
        <v/>
      </c>
      <c r="O78" s="372" t="str">
        <f t="shared" si="7"/>
        <v/>
      </c>
    </row>
    <row r="79" spans="1:27" x14ac:dyDescent="0.2">
      <c r="A79" s="385"/>
      <c r="B79" s="386"/>
      <c r="C79" s="386"/>
      <c r="D79" s="386"/>
      <c r="E79" s="386"/>
      <c r="F79" s="386"/>
      <c r="G79" s="387"/>
      <c r="H79" s="387"/>
      <c r="I79" s="357"/>
      <c r="J79" s="358"/>
      <c r="K79" s="462"/>
    </row>
    <row r="80" spans="1:27" hidden="1" x14ac:dyDescent="0.2">
      <c r="A80" s="865" t="s">
        <v>87</v>
      </c>
      <c r="B80" s="865"/>
      <c r="C80" s="865"/>
      <c r="D80" s="865"/>
      <c r="E80" s="865"/>
      <c r="F80" s="865"/>
      <c r="G80" s="865"/>
      <c r="H80" s="865"/>
      <c r="I80" s="357" t="s">
        <v>11</v>
      </c>
      <c r="J80" s="358"/>
      <c r="K80" s="462"/>
    </row>
    <row r="81" spans="1:10" ht="25.5" customHeight="1" x14ac:dyDescent="0.2">
      <c r="A81" s="862" t="s">
        <v>459</v>
      </c>
      <c r="B81" s="863"/>
      <c r="C81" s="863"/>
      <c r="D81" s="863"/>
      <c r="E81" s="863"/>
      <c r="F81" s="863"/>
      <c r="G81" s="863"/>
      <c r="H81" s="864"/>
      <c r="I81" s="357"/>
      <c r="J81" s="358"/>
    </row>
    <row r="82" spans="1:10" ht="300" customHeight="1" x14ac:dyDescent="0.2">
      <c r="A82" s="866"/>
      <c r="B82" s="867"/>
      <c r="C82" s="867"/>
      <c r="D82" s="867"/>
      <c r="E82" s="867"/>
      <c r="F82" s="867"/>
      <c r="G82" s="867"/>
      <c r="H82" s="868"/>
      <c r="I82" s="357" t="s">
        <v>480</v>
      </c>
      <c r="J82" s="358"/>
    </row>
  </sheetData>
  <sheetProtection password="9A3D" sheet="1" objects="1" scenarios="1" selectLockedCells="1"/>
  <mergeCells count="50">
    <mergeCell ref="A6:H6"/>
    <mergeCell ref="A1:H1"/>
    <mergeCell ref="I1:J1"/>
    <mergeCell ref="A2:H2"/>
    <mergeCell ref="A3:H3"/>
    <mergeCell ref="A5:E5"/>
    <mergeCell ref="L12:O12"/>
    <mergeCell ref="A13:H13"/>
    <mergeCell ref="L13:L14"/>
    <mergeCell ref="M13:M14"/>
    <mergeCell ref="N13:N14"/>
    <mergeCell ref="O13:O14"/>
    <mergeCell ref="G19:H19"/>
    <mergeCell ref="A7:H7"/>
    <mergeCell ref="A9:H9"/>
    <mergeCell ref="A10:H10"/>
    <mergeCell ref="G14:H14"/>
    <mergeCell ref="G15:H15"/>
    <mergeCell ref="G16:H16"/>
    <mergeCell ref="G17:H17"/>
    <mergeCell ref="G18:H18"/>
    <mergeCell ref="G31:H31"/>
    <mergeCell ref="G20:H20"/>
    <mergeCell ref="G21:H21"/>
    <mergeCell ref="G22:H22"/>
    <mergeCell ref="G23:H23"/>
    <mergeCell ref="G24:H24"/>
    <mergeCell ref="G25:H25"/>
    <mergeCell ref="G26:H26"/>
    <mergeCell ref="G27:H27"/>
    <mergeCell ref="G28:H28"/>
    <mergeCell ref="G29:H29"/>
    <mergeCell ref="G30:H30"/>
    <mergeCell ref="G43:H43"/>
    <mergeCell ref="G32:H32"/>
    <mergeCell ref="G33:H33"/>
    <mergeCell ref="G34:H34"/>
    <mergeCell ref="G35:H35"/>
    <mergeCell ref="G36:H36"/>
    <mergeCell ref="G37:H37"/>
    <mergeCell ref="G38:H38"/>
    <mergeCell ref="G39:H39"/>
    <mergeCell ref="G40:H40"/>
    <mergeCell ref="G41:H41"/>
    <mergeCell ref="G42:H42"/>
    <mergeCell ref="G44:H44"/>
    <mergeCell ref="A47:H47"/>
    <mergeCell ref="A80:H80"/>
    <mergeCell ref="A81:H81"/>
    <mergeCell ref="A82:H82"/>
  </mergeCells>
  <conditionalFormatting sqref="A6:A7">
    <cfRule type="expression" dxfId="6" priority="3">
      <formula>IF(K6="FAILED",TRUE,FALSE)</formula>
    </cfRule>
    <cfRule type="expression" dxfId="5" priority="4">
      <formula>IF(K6="PASSED",TRUE,FALSE)</formula>
    </cfRule>
  </conditionalFormatting>
  <conditionalFormatting sqref="A49:H78 A15:G44">
    <cfRule type="expression" dxfId="4" priority="2">
      <formula>IF($O15="FLAG",TRUE, FALSE)</formula>
    </cfRule>
  </conditionalFormatting>
  <conditionalFormatting sqref="A15:A44 A49:A78">
    <cfRule type="expression" dxfId="3" priority="1">
      <formula>IF($N15="NO",1,0)</formula>
    </cfRule>
  </conditionalFormatting>
  <dataValidations count="5">
    <dataValidation operator="greaterThan" showInputMessage="1" showErrorMessage="1" sqref="G49:G78" xr:uid="{00000000-0002-0000-0A00-000000000000}"/>
    <dataValidation type="whole" operator="greaterThanOrEqual" allowBlank="1" showInputMessage="1" showErrorMessage="1" sqref="K79:K80" xr:uid="{00000000-0002-0000-0A00-000001000000}">
      <formula1>0</formula1>
    </dataValidation>
    <dataValidation type="list" allowBlank="1" showInputMessage="1" showErrorMessage="1" sqref="C15:C45 C49:C78" xr:uid="{00000000-0002-0000-0A00-000002000000}">
      <formula1>Sponsor_type</formula1>
    </dataValidation>
    <dataValidation type="list" allowBlank="1" showInputMessage="1" showErrorMessage="1" sqref="E49:E78 E15:E45" xr:uid="{00000000-0002-0000-0A00-000003000000}">
      <formula1>Phase</formula1>
    </dataValidation>
    <dataValidation type="list" allowBlank="1" showInputMessage="1" showErrorMessage="1" sqref="D15:D45 D49:D78" xr:uid="{00000000-0002-0000-0A00-000004000000}">
      <formula1>Sponsor_rel</formula1>
    </dataValidation>
  </dataValidations>
  <pageMargins left="0.7" right="0.7" top="0.75" bottom="0.75" header="0.3" footer="0.3"/>
  <pageSetup paperSize="9" scale="38" orientation="portrait" r:id="rId1"/>
  <colBreaks count="1" manualBreakCount="1">
    <brk id="8"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69"/>
  <sheetViews>
    <sheetView topLeftCell="A33" zoomScaleNormal="100" workbookViewId="0">
      <selection sqref="A1:C1"/>
    </sheetView>
  </sheetViews>
  <sheetFormatPr defaultColWidth="0" defaultRowHeight="12.75" zeroHeight="1" x14ac:dyDescent="0.2"/>
  <cols>
    <col min="1" max="2" width="52.42578125" style="32" customWidth="1"/>
    <col min="3" max="3" width="56.7109375" style="32" customWidth="1"/>
    <col min="4" max="4" width="16.140625" style="32" hidden="1" customWidth="1"/>
    <col min="5" max="9" width="9.140625" style="35" hidden="1" customWidth="1"/>
    <col min="10" max="16384" width="9.140625" style="35" hidden="1"/>
  </cols>
  <sheetData>
    <row r="1" spans="1:9" s="340" customFormat="1" ht="30.75" customHeight="1" x14ac:dyDescent="0.25">
      <c r="A1" s="593" t="s">
        <v>238</v>
      </c>
      <c r="B1" s="594"/>
      <c r="C1" s="643"/>
      <c r="D1" s="25"/>
    </row>
    <row r="2" spans="1:9" s="341" customFormat="1" ht="18" customHeight="1" x14ac:dyDescent="0.25">
      <c r="A2" s="646" t="str">
        <f>Contact!A2</f>
        <v>Institution name: Derby College</v>
      </c>
      <c r="B2" s="647"/>
      <c r="C2" s="648"/>
      <c r="D2" s="27"/>
      <c r="G2" s="912" t="s">
        <v>465</v>
      </c>
      <c r="H2" s="913"/>
      <c r="I2" s="914"/>
    </row>
    <row r="3" spans="1:9" s="341" customFormat="1" ht="18" customHeight="1" x14ac:dyDescent="0.25">
      <c r="A3" s="649" t="str">
        <f>Contact!A3</f>
        <v>Institution UKPRN: 10001919</v>
      </c>
      <c r="B3" s="650"/>
      <c r="C3" s="651"/>
      <c r="D3" s="27"/>
      <c r="G3" s="417"/>
      <c r="H3" s="400"/>
      <c r="I3" s="418"/>
    </row>
    <row r="4" spans="1:9" s="341" customFormat="1" ht="18.75" hidden="1" customHeight="1" x14ac:dyDescent="0.25">
      <c r="A4" s="915"/>
      <c r="B4" s="916"/>
      <c r="C4" s="917"/>
      <c r="D4" s="31" t="s">
        <v>239</v>
      </c>
      <c r="G4" s="401" t="s">
        <v>466</v>
      </c>
      <c r="H4" s="401" t="s">
        <v>467</v>
      </c>
      <c r="I4" s="401" t="s">
        <v>468</v>
      </c>
    </row>
    <row r="5" spans="1:9" s="341" customFormat="1" ht="23.25" x14ac:dyDescent="0.25">
      <c r="A5" s="918" t="str">
        <f>IF(D5="PASSED","WORKBOOK VALIDATION PASSED","WORKBOOK VALIDATION FAILED")</f>
        <v>WORKBOOK VALIDATION PASSED</v>
      </c>
      <c r="B5" s="919"/>
      <c r="C5" s="920"/>
      <c r="D5" s="34" t="str">
        <f>IF(SUM(G5:G28)=0,"PASSED","FAILED")</f>
        <v>PASSED</v>
      </c>
      <c r="G5" s="402">
        <f>IF(D8="PASSED",0,1)</f>
        <v>0</v>
      </c>
      <c r="H5" s="402" t="s">
        <v>469</v>
      </c>
      <c r="I5" s="402">
        <v>1</v>
      </c>
    </row>
    <row r="6" spans="1:9" s="341" customFormat="1" ht="18.75" customHeight="1" x14ac:dyDescent="0.25">
      <c r="A6" s="921"/>
      <c r="B6" s="922"/>
      <c r="C6" s="923"/>
      <c r="D6" s="291"/>
      <c r="G6" s="402">
        <f>IF(D9="PASSED",0,1)</f>
        <v>0</v>
      </c>
      <c r="H6" s="402" t="s">
        <v>469</v>
      </c>
      <c r="I6" s="402">
        <v>2</v>
      </c>
    </row>
    <row r="7" spans="1:9" s="341" customFormat="1" ht="15" x14ac:dyDescent="0.25">
      <c r="A7" s="900" t="s">
        <v>240</v>
      </c>
      <c r="B7" s="901"/>
      <c r="C7" s="902"/>
      <c r="D7" s="31" t="s">
        <v>35</v>
      </c>
      <c r="G7" s="402">
        <f>IF(D12="PASSED",0,1)</f>
        <v>0</v>
      </c>
      <c r="H7" s="402" t="s">
        <v>29</v>
      </c>
      <c r="I7" s="402">
        <v>1</v>
      </c>
    </row>
    <row r="8" spans="1:9" s="341" customFormat="1" ht="18.75" customHeight="1" x14ac:dyDescent="0.25">
      <c r="A8" s="897" t="str">
        <f>Contact!A8</f>
        <v>1. Please ensure that contact details are completed for two people.</v>
      </c>
      <c r="B8" s="898"/>
      <c r="C8" s="899"/>
      <c r="D8" s="33" t="str">
        <f>Contact!G8</f>
        <v>PASSED</v>
      </c>
      <c r="G8" s="402">
        <f>IF(D13="PASSED",0,1)</f>
        <v>0</v>
      </c>
      <c r="H8" s="402" t="s">
        <v>29</v>
      </c>
      <c r="I8" s="292">
        <v>2</v>
      </c>
    </row>
    <row r="9" spans="1:9" s="341" customFormat="1" ht="18.75" hidden="1" customHeight="1" x14ac:dyDescent="0.25">
      <c r="A9" s="897" t="str">
        <f>Contact!A9</f>
        <v>2. Please ensure the question about sharing contact details is answered.</v>
      </c>
      <c r="B9" s="898"/>
      <c r="C9" s="899"/>
      <c r="D9" s="34" t="s">
        <v>577</v>
      </c>
      <c r="G9" s="402">
        <f t="shared" ref="G9:G11" si="0">IF(D14="PASSED",0,1)</f>
        <v>0</v>
      </c>
      <c r="H9" s="402" t="s">
        <v>29</v>
      </c>
      <c r="I9" s="292">
        <v>3</v>
      </c>
    </row>
    <row r="10" spans="1:9" s="341" customFormat="1" ht="18.75" customHeight="1" x14ac:dyDescent="0.25">
      <c r="A10" s="924"/>
      <c r="B10" s="925"/>
      <c r="C10" s="926"/>
      <c r="D10" s="27"/>
      <c r="G10" s="402">
        <f t="shared" si="0"/>
        <v>0</v>
      </c>
      <c r="H10" s="402" t="s">
        <v>29</v>
      </c>
      <c r="I10" s="292">
        <v>4</v>
      </c>
    </row>
    <row r="11" spans="1:9" s="341" customFormat="1" ht="15" x14ac:dyDescent="0.25">
      <c r="A11" s="900" t="s">
        <v>461</v>
      </c>
      <c r="B11" s="901"/>
      <c r="C11" s="902"/>
      <c r="D11" s="31" t="s">
        <v>35</v>
      </c>
      <c r="G11" s="402">
        <f t="shared" si="0"/>
        <v>0</v>
      </c>
      <c r="H11" s="402" t="s">
        <v>29</v>
      </c>
      <c r="I11" s="292">
        <v>5</v>
      </c>
    </row>
    <row r="12" spans="1:9" s="341" customFormat="1" ht="17.25" customHeight="1" x14ac:dyDescent="0.25">
      <c r="A12" s="897" t="str">
        <f>'FT Fee'!A9:K9</f>
        <v>1. Please select an option in cell D5 for whether or not you will, or intend to, participate in TEF in 2019-20.</v>
      </c>
      <c r="B12" s="898"/>
      <c r="C12" s="899"/>
      <c r="D12" s="33" t="str">
        <f>'FT Fee'!N9</f>
        <v>PASSED</v>
      </c>
      <c r="G12" s="402">
        <f>IF(D19="PASSED",0,1)</f>
        <v>0</v>
      </c>
      <c r="H12" s="402" t="s">
        <v>65</v>
      </c>
      <c r="I12" s="292">
        <v>1</v>
      </c>
    </row>
    <row r="13" spans="1:9" s="341" customFormat="1" ht="15" x14ac:dyDescent="0.25">
      <c r="A13" s="897" t="str">
        <f>'FT Fee'!A10:K10</f>
        <v>2. There must be at least one course in the table.</v>
      </c>
      <c r="B13" s="898"/>
      <c r="C13" s="899"/>
      <c r="D13" s="34" t="str">
        <f>'FT Fee'!N10</f>
        <v>PASSED</v>
      </c>
      <c r="G13" s="402">
        <f t="shared" ref="G13:G14" si="1">IF(D20="PASSED",0,1)</f>
        <v>0</v>
      </c>
      <c r="H13" s="402" t="s">
        <v>65</v>
      </c>
      <c r="I13" s="292">
        <v>2</v>
      </c>
    </row>
    <row r="14" spans="1:9" s="341" customFormat="1" ht="15" x14ac:dyDescent="0.25">
      <c r="A14" s="897" t="str">
        <f>'FT Fee'!A11:K11</f>
        <v>3. All mandatory cells within a row must be complete - rows must have course type selected, at least one student recorded, 2019-20 entrants field completed (column H) and a course fee.</v>
      </c>
      <c r="B14" s="898"/>
      <c r="C14" s="899"/>
      <c r="D14" s="34" t="str">
        <f>'FT Fee'!N11</f>
        <v>PASSED</v>
      </c>
      <c r="G14" s="402">
        <f t="shared" si="1"/>
        <v>0</v>
      </c>
      <c r="H14" s="402" t="s">
        <v>65</v>
      </c>
      <c r="I14" s="292">
        <v>3</v>
      </c>
    </row>
    <row r="15" spans="1:9" s="341" customFormat="1" ht="15" customHeight="1" x14ac:dyDescent="0.25">
      <c r="A15" s="897" t="str">
        <f>'FT Fee'!A12:K12</f>
        <v>4. There must be at least one course fee that applies to 2019-20 entrants ("Yes" in column H).</v>
      </c>
      <c r="B15" s="898"/>
      <c r="C15" s="899"/>
      <c r="D15" s="34" t="str">
        <f>'FT Fee'!N12</f>
        <v>PASSED</v>
      </c>
      <c r="G15" s="402">
        <f>IF(D24="PASSED",0,1)</f>
        <v>0</v>
      </c>
      <c r="H15" s="402">
        <v>2</v>
      </c>
      <c r="I15" s="292">
        <v>1</v>
      </c>
    </row>
    <row r="16" spans="1:9" s="341" customFormat="1" ht="14.25" customHeight="1" x14ac:dyDescent="0.25">
      <c r="A16" s="897" t="str">
        <f>'FT Fee'!A13:K13</f>
        <v>5. Courses must not exceed the higher fee cap for the particular system/course type selected.</v>
      </c>
      <c r="B16" s="898"/>
      <c r="C16" s="899"/>
      <c r="D16" s="34" t="str">
        <f>'FT Fee'!N13</f>
        <v>PASSED</v>
      </c>
      <c r="G16" s="402">
        <f t="shared" ref="G16:G17" si="2">IF(D25="PASSED",0,1)</f>
        <v>0</v>
      </c>
      <c r="H16" s="402">
        <v>2</v>
      </c>
      <c r="I16" s="292">
        <v>2</v>
      </c>
    </row>
    <row r="17" spans="1:9" s="341" customFormat="1" ht="18.75" customHeight="1" x14ac:dyDescent="0.25">
      <c r="A17" s="909"/>
      <c r="B17" s="910"/>
      <c r="C17" s="911"/>
      <c r="D17" s="27"/>
      <c r="G17" s="402">
        <f t="shared" si="2"/>
        <v>0</v>
      </c>
      <c r="H17" s="402">
        <v>2</v>
      </c>
      <c r="I17" s="402">
        <v>3</v>
      </c>
    </row>
    <row r="18" spans="1:9" s="341" customFormat="1" ht="18.75" customHeight="1" x14ac:dyDescent="0.25">
      <c r="A18" s="900" t="s">
        <v>462</v>
      </c>
      <c r="B18" s="901"/>
      <c r="C18" s="902"/>
      <c r="D18" s="31" t="s">
        <v>35</v>
      </c>
      <c r="G18" s="402">
        <f>IF(D29="PASSED",0,1)</f>
        <v>0</v>
      </c>
      <c r="H18" s="402">
        <v>3</v>
      </c>
      <c r="I18" s="402">
        <v>1</v>
      </c>
    </row>
    <row r="19" spans="1:9" s="341" customFormat="1" ht="15" x14ac:dyDescent="0.25">
      <c r="A19" s="897" t="str">
        <f>'FT Fee (Franchise)'!A7:L7</f>
        <v>1. All mandatory cells within a row must be complete - rows must have course type selected, franchise institution entered, at least one student recorded, 2019-20 entrants field  completed (column I) and a course fee.</v>
      </c>
      <c r="B19" s="898"/>
      <c r="C19" s="899"/>
      <c r="D19" s="34" t="str">
        <f>'FT Fee (Franchise)'!O7</f>
        <v>PASSED</v>
      </c>
      <c r="G19" s="402">
        <f>IF(D32="PASSED",0,1)</f>
        <v>0</v>
      </c>
      <c r="H19" s="402">
        <v>4</v>
      </c>
      <c r="I19" s="402">
        <v>1</v>
      </c>
    </row>
    <row r="20" spans="1:9" s="341" customFormat="1" ht="15" x14ac:dyDescent="0.25">
      <c r="A20" s="897" t="str">
        <f>'FT Fee (Franchise)'!A8:L8</f>
        <v>2. If there are courses listed, there should be at least one course fee that applies to 2019-20 entrants ("Yes" in column I).</v>
      </c>
      <c r="B20" s="898"/>
      <c r="C20" s="899"/>
      <c r="D20" s="34" t="str">
        <f>'FT Fee (Franchise)'!O8</f>
        <v>PASSED</v>
      </c>
      <c r="G20" s="402">
        <f>IF(D33="PASSED",0,1)</f>
        <v>0</v>
      </c>
      <c r="H20" s="402">
        <v>4</v>
      </c>
      <c r="I20" s="402">
        <v>2</v>
      </c>
    </row>
    <row r="21" spans="1:9" s="341" customFormat="1" ht="15" customHeight="1" x14ac:dyDescent="0.25">
      <c r="A21" s="897" t="str">
        <f>'FT Fee (Franchise)'!A9:L9</f>
        <v>3. Courses must not exceed the higher fee cap for the particular system/course type selected.</v>
      </c>
      <c r="B21" s="898"/>
      <c r="C21" s="899"/>
      <c r="D21" s="34" t="str">
        <f>'FT Fee (Franchise)'!O9</f>
        <v>PASSED</v>
      </c>
      <c r="G21" s="402">
        <f>IF(D36="PASSED",0,1)</f>
        <v>0</v>
      </c>
      <c r="H21" s="402">
        <v>5</v>
      </c>
      <c r="I21" s="402">
        <v>1</v>
      </c>
    </row>
    <row r="22" spans="1:9" s="341" customFormat="1" ht="18.75" customHeight="1" x14ac:dyDescent="0.25">
      <c r="A22" s="434"/>
      <c r="B22" s="435"/>
      <c r="C22" s="436"/>
      <c r="D22" s="27"/>
      <c r="G22" s="402">
        <f>IF(D37="PASSED",0,1)</f>
        <v>0</v>
      </c>
      <c r="H22" s="402">
        <v>5</v>
      </c>
      <c r="I22" s="402">
        <v>2</v>
      </c>
    </row>
    <row r="23" spans="1:9" s="341" customFormat="1" ht="15" x14ac:dyDescent="0.25">
      <c r="A23" s="900" t="s">
        <v>463</v>
      </c>
      <c r="B23" s="901"/>
      <c r="C23" s="902"/>
      <c r="D23" s="31" t="s">
        <v>35</v>
      </c>
      <c r="G23" s="402">
        <f>IF(D40="PASSED",0,1)</f>
        <v>0</v>
      </c>
      <c r="H23" s="402">
        <v>6</v>
      </c>
      <c r="I23" s="292">
        <v>1</v>
      </c>
    </row>
    <row r="24" spans="1:9" s="341" customFormat="1" ht="15" x14ac:dyDescent="0.25">
      <c r="A24" s="897" t="str">
        <f>'PT Fee'!A7:G7</f>
        <v>1. All mandatory cells within a row must be complete - rows must have course type selected, the full-time equivalent course fee, 2019-20 entrants field completed (column E) and maximum fee completed.</v>
      </c>
      <c r="B24" s="898"/>
      <c r="C24" s="899"/>
      <c r="D24" s="34" t="str">
        <f>'PT Fee'!J7</f>
        <v>PASSED</v>
      </c>
      <c r="G24" s="402">
        <f>IF(D43="PASSED",0,1)</f>
        <v>0</v>
      </c>
      <c r="H24" s="402">
        <v>8</v>
      </c>
      <c r="I24" s="292">
        <v>1</v>
      </c>
    </row>
    <row r="25" spans="1:9" s="341" customFormat="1" ht="15" x14ac:dyDescent="0.25">
      <c r="A25" s="897" t="str">
        <f>'PT Fee'!A8:G8</f>
        <v>2. If there are courses listed, there should be at least one course fee that applies to 2019-20 entrants ("Yes" in column E).</v>
      </c>
      <c r="B25" s="898"/>
      <c r="C25" s="899"/>
      <c r="D25" s="34" t="str">
        <f>'PT Fee'!J8</f>
        <v>PASSED</v>
      </c>
      <c r="G25" s="402">
        <f t="shared" ref="G25" si="3">IF(D44="PASSED",0,1)</f>
        <v>0</v>
      </c>
      <c r="H25" s="402">
        <v>8</v>
      </c>
      <c r="I25" s="292">
        <v>2</v>
      </c>
    </row>
    <row r="26" spans="1:9" s="341" customFormat="1" ht="15" customHeight="1" x14ac:dyDescent="0.25">
      <c r="A26" s="897" t="str">
        <f>'PT Fee'!A9:G9</f>
        <v>3. Courses must not exceed the higher fee cap for the particular course type selected.</v>
      </c>
      <c r="B26" s="898"/>
      <c r="C26" s="899"/>
      <c r="D26" s="34" t="str">
        <f>'PT Fee'!J9</f>
        <v>PASSED</v>
      </c>
      <c r="G26" s="402">
        <f>IF(D47="PASSED",0,1)</f>
        <v>0</v>
      </c>
      <c r="H26" s="402">
        <v>9</v>
      </c>
      <c r="I26" s="226">
        <v>1</v>
      </c>
    </row>
    <row r="27" spans="1:9" s="341" customFormat="1" ht="15" customHeight="1" x14ac:dyDescent="0.25">
      <c r="A27" s="909"/>
      <c r="B27" s="910"/>
      <c r="C27" s="911"/>
      <c r="D27" s="293"/>
      <c r="G27" s="402">
        <f>IF(D48="PASSED",0,1)</f>
        <v>0</v>
      </c>
      <c r="H27" s="341">
        <v>9</v>
      </c>
      <c r="I27" s="341">
        <v>2</v>
      </c>
    </row>
    <row r="28" spans="1:9" s="341" customFormat="1" ht="15" customHeight="1" x14ac:dyDescent="0.25">
      <c r="A28" s="900" t="s">
        <v>485</v>
      </c>
      <c r="B28" s="901"/>
      <c r="C28" s="902"/>
      <c r="D28" s="31" t="s">
        <v>35</v>
      </c>
      <c r="G28" s="402">
        <f>IF(D51="PASSED",0,1)</f>
        <v>0</v>
      </c>
      <c r="H28" s="341" t="s">
        <v>470</v>
      </c>
      <c r="I28" s="341">
        <v>1</v>
      </c>
    </row>
    <row r="29" spans="1:9" s="341" customFormat="1" ht="15" customHeight="1" x14ac:dyDescent="0.25">
      <c r="A29" s="897" t="str">
        <f>'Fee Summary'!B8</f>
        <v xml:space="preserve">1. Please enter statement on increasing your fees by inflation for 2019-20 entrants in subsequent years of study in cell B13. </v>
      </c>
      <c r="B29" s="898"/>
      <c r="C29" s="899"/>
      <c r="D29" s="34" t="str">
        <f>'Fee Summary'!G8</f>
        <v>PASSED</v>
      </c>
    </row>
    <row r="30" spans="1:9" s="341" customFormat="1" ht="18.75" customHeight="1" x14ac:dyDescent="0.25">
      <c r="A30" s="909"/>
      <c r="B30" s="910"/>
      <c r="C30" s="911"/>
      <c r="D30" s="27"/>
    </row>
    <row r="31" spans="1:9" s="341" customFormat="1" ht="18.75" customHeight="1" x14ac:dyDescent="0.25">
      <c r="A31" s="900" t="s">
        <v>464</v>
      </c>
      <c r="B31" s="901"/>
      <c r="C31" s="902"/>
      <c r="D31" s="31" t="s">
        <v>35</v>
      </c>
    </row>
    <row r="32" spans="1:9" s="341" customFormat="1" ht="18.75" customHeight="1" x14ac:dyDescent="0.25">
      <c r="A32" s="897" t="str">
        <f>'Students &amp; Income'!A6:G6</f>
        <v>1. If you record part-time student numbers above the basic fee in Table 4a, you must have higher fee income from part-time students in Table 4b, and vice versa.</v>
      </c>
      <c r="B32" s="898"/>
      <c r="C32" s="899"/>
      <c r="D32" s="33" t="str">
        <f>'Students &amp; Income'!J6</f>
        <v>PASSED</v>
      </c>
    </row>
    <row r="33" spans="1:4" s="341" customFormat="1" ht="15" x14ac:dyDescent="0.25">
      <c r="A33" s="897" t="str">
        <f>'Students &amp; Income'!A7:G7</f>
        <v>2. Part-time, above the basic fee student numbers should be less than or equal to all part-time student numbers.</v>
      </c>
      <c r="B33" s="898"/>
      <c r="C33" s="899"/>
      <c r="D33" s="34" t="str">
        <f>'Students &amp; Income'!J7</f>
        <v>PASSED</v>
      </c>
    </row>
    <row r="34" spans="1:4" s="341" customFormat="1" ht="18.75" customHeight="1" x14ac:dyDescent="0.25">
      <c r="A34" s="909"/>
      <c r="B34" s="910"/>
      <c r="C34" s="911"/>
      <c r="D34" s="27"/>
    </row>
    <row r="35" spans="1:4" s="341" customFormat="1" ht="15" x14ac:dyDescent="0.25">
      <c r="A35" s="900" t="s">
        <v>547</v>
      </c>
      <c r="B35" s="901"/>
      <c r="C35" s="902"/>
      <c r="D35" s="31" t="s">
        <v>35</v>
      </c>
    </row>
    <row r="36" spans="1:4" s="341" customFormat="1" ht="15" x14ac:dyDescent="0.25">
      <c r="A36" s="897" t="str">
        <f>'Activity Investment'!A6:F6</f>
        <v>1. Table 5a must be completed.</v>
      </c>
      <c r="B36" s="898"/>
      <c r="C36" s="899"/>
      <c r="D36" s="33" t="str">
        <f>'Activity Investment'!I6</f>
        <v>PASSED</v>
      </c>
    </row>
    <row r="37" spans="1:4" s="341" customFormat="1" ht="15" x14ac:dyDescent="0.25">
      <c r="A37" s="897" t="str">
        <f>'Activity Investment'!A7:F7</f>
        <v>2. Countable spend on access, success and progression should not exceed the total investment for access, success and progression respectively.</v>
      </c>
      <c r="B37" s="898"/>
      <c r="C37" s="899"/>
      <c r="D37" s="34" t="str">
        <f>'Activity Investment'!I7</f>
        <v>PASSED</v>
      </c>
    </row>
    <row r="38" spans="1:4" s="341" customFormat="1" ht="29.25" customHeight="1" x14ac:dyDescent="0.25">
      <c r="A38" s="909"/>
      <c r="B38" s="910"/>
      <c r="C38" s="911"/>
      <c r="D38" s="27"/>
    </row>
    <row r="39" spans="1:4" s="341" customFormat="1" ht="15" x14ac:dyDescent="0.25">
      <c r="A39" s="900" t="s">
        <v>520</v>
      </c>
      <c r="B39" s="901"/>
      <c r="C39" s="902"/>
      <c r="D39" s="31" t="s">
        <v>35</v>
      </c>
    </row>
    <row r="40" spans="1:4" s="341" customFormat="1" ht="15" x14ac:dyDescent="0.25">
      <c r="A40" s="897" t="str">
        <f>'Financial Support'!A6:H6</f>
        <v>1. Table 6a must be completed.</v>
      </c>
      <c r="B40" s="898"/>
      <c r="C40" s="899"/>
      <c r="D40" s="34" t="str">
        <f>'Financial Support'!K6</f>
        <v>PASSED</v>
      </c>
    </row>
    <row r="41" spans="1:4" s="341" customFormat="1" ht="15" x14ac:dyDescent="0.25">
      <c r="A41" s="909"/>
      <c r="B41" s="910"/>
      <c r="C41" s="911"/>
      <c r="D41" s="27"/>
    </row>
    <row r="42" spans="1:4" s="341" customFormat="1" ht="15" x14ac:dyDescent="0.25">
      <c r="A42" s="900" t="s">
        <v>472</v>
      </c>
      <c r="B42" s="901"/>
      <c r="C42" s="902"/>
      <c r="D42" s="31" t="s">
        <v>35</v>
      </c>
    </row>
    <row r="43" spans="1:4" s="341" customFormat="1" ht="33" customHeight="1" x14ac:dyDescent="0.25">
      <c r="A43" s="897" t="str">
        <f>'Targets &amp; Milestones'!A6:N6</f>
        <v>1. All mandatory cells within a row in Table 8a must be complete -  rows must have a reference number, lifecycle stage, target type, they must be classified as collaborative or not, they must have a baseline year and baseline data entered, and they must contain milestones up to and including 2019-20.</v>
      </c>
      <c r="B43" s="898"/>
      <c r="C43" s="899"/>
      <c r="D43" s="34" t="str">
        <f>'Targets &amp; Milestones'!Q6</f>
        <v>PASSED</v>
      </c>
    </row>
    <row r="44" spans="1:4" ht="36" customHeight="1" x14ac:dyDescent="0.2">
      <c r="A44" s="897" t="str">
        <f>'Targets &amp; Milestones'!A7:N7</f>
        <v>2. All mandatory cells within a row in Table 8b must be complete -  rows must have a reference number, lifecycle stage, target type, they must be classified as collaborative or not, and they must have a baseline year, baseline data, and yearly milestones entered.</v>
      </c>
      <c r="B44" s="898"/>
      <c r="C44" s="899"/>
      <c r="D44" s="34" t="str">
        <f>'Targets &amp; Milestones'!Q7</f>
        <v>PASSED</v>
      </c>
    </row>
    <row r="45" spans="1:4" ht="36" customHeight="1" x14ac:dyDescent="0.2">
      <c r="A45" s="909"/>
      <c r="B45" s="910"/>
      <c r="C45" s="911"/>
      <c r="D45" s="293"/>
    </row>
    <row r="46" spans="1:4" ht="18.75" customHeight="1" x14ac:dyDescent="0.2">
      <c r="A46" s="900" t="s">
        <v>505</v>
      </c>
      <c r="B46" s="901"/>
      <c r="C46" s="902"/>
      <c r="D46" s="31" t="s">
        <v>35</v>
      </c>
    </row>
    <row r="47" spans="1:4" ht="14.25" x14ac:dyDescent="0.2">
      <c r="A47" s="897" t="str">
        <f>'Sponsorship arrangements'!A6:H6</f>
        <v>1. All mandatory cells within a row in Table 9a must be complete -  rows must have a reference number, name of school, type of relationship, phase and name of trust</v>
      </c>
      <c r="B47" s="898"/>
      <c r="C47" s="899"/>
      <c r="D47" s="34" t="str">
        <f>'Sponsorship arrangements'!K6</f>
        <v>PASSED</v>
      </c>
    </row>
    <row r="48" spans="1:4" ht="31.5" customHeight="1" x14ac:dyDescent="0.2">
      <c r="A48" s="897" t="str">
        <f>'Sponsorship arrangements'!A7:H7</f>
        <v>2. All mandatory cells within a row in Table 9b must be complete -  rows must have a reference number, name of school, type of relationship, phase, name of trust and expected year of school opening</v>
      </c>
      <c r="B48" s="898"/>
      <c r="C48" s="899"/>
      <c r="D48" s="34" t="str">
        <f>'Sponsorship arrangements'!K7</f>
        <v>PASSED</v>
      </c>
    </row>
    <row r="49" spans="1:4" s="341" customFormat="1" ht="15" hidden="1" customHeight="1" x14ac:dyDescent="0.25">
      <c r="A49" s="909"/>
      <c r="B49" s="910"/>
      <c r="C49" s="911"/>
      <c r="D49" s="293"/>
    </row>
    <row r="50" spans="1:4" ht="12.75" hidden="1" customHeight="1" x14ac:dyDescent="0.2">
      <c r="A50" s="900" t="s">
        <v>241</v>
      </c>
      <c r="B50" s="901"/>
      <c r="C50" s="902"/>
      <c r="D50" s="31" t="s">
        <v>35</v>
      </c>
    </row>
    <row r="51" spans="1:4" ht="12.95" hidden="1" customHeight="1" x14ac:dyDescent="0.2">
      <c r="A51" s="903" t="str">
        <f>Assurance!A6</f>
        <v>1. Please ensure that senior manager details are completed.</v>
      </c>
      <c r="B51" s="904"/>
      <c r="C51" s="905"/>
      <c r="D51" s="34" t="s">
        <v>577</v>
      </c>
    </row>
    <row r="52" spans="1:4" ht="12.95" hidden="1" customHeight="1" x14ac:dyDescent="0.2">
      <c r="A52" s="906"/>
      <c r="B52" s="907"/>
      <c r="C52" s="908"/>
    </row>
    <row r="53" spans="1:4" ht="12.95" hidden="1" customHeight="1" x14ac:dyDescent="0.2"/>
    <row r="54" spans="1:4" ht="12.95" hidden="1" customHeight="1" x14ac:dyDescent="0.2"/>
    <row r="55" spans="1:4" ht="12.95" hidden="1" customHeight="1" x14ac:dyDescent="0.2"/>
    <row r="56" spans="1:4" ht="12.95" hidden="1" customHeight="1" x14ac:dyDescent="0.2"/>
    <row r="57" spans="1:4" ht="12.95" hidden="1" customHeight="1" x14ac:dyDescent="0.2"/>
    <row r="58" spans="1:4" ht="12.95" hidden="1" customHeight="1" x14ac:dyDescent="0.2"/>
    <row r="59" spans="1:4" ht="12.95" hidden="1" customHeight="1" x14ac:dyDescent="0.2"/>
    <row r="60" spans="1:4" ht="12.95" hidden="1" customHeight="1" x14ac:dyDescent="0.2"/>
    <row r="61" spans="1:4" ht="12.95" hidden="1" customHeight="1" x14ac:dyDescent="0.2"/>
    <row r="62" spans="1:4" ht="12.95" hidden="1" customHeight="1" x14ac:dyDescent="0.2"/>
    <row r="63" spans="1:4" ht="12.95" hidden="1" customHeight="1" x14ac:dyDescent="0.2"/>
    <row r="64" spans="1:4" ht="12.95" hidden="1" customHeight="1" x14ac:dyDescent="0.2"/>
    <row r="65" ht="12.95" hidden="1" customHeight="1" x14ac:dyDescent="0.2"/>
    <row r="66" ht="12.95" hidden="1" customHeight="1" x14ac:dyDescent="0.2"/>
    <row r="67" ht="12.95" hidden="1" customHeight="1" x14ac:dyDescent="0.2"/>
    <row r="68" ht="12.95" hidden="1" customHeight="1" x14ac:dyDescent="0.2"/>
    <row r="69" ht="12.95" hidden="1" customHeight="1" x14ac:dyDescent="0.2"/>
  </sheetData>
  <sheetProtection password="9A3D" sheet="1" objects="1" scenarios="1"/>
  <mergeCells count="52">
    <mergeCell ref="A12:C12"/>
    <mergeCell ref="A13:C13"/>
    <mergeCell ref="A16:C16"/>
    <mergeCell ref="A15:C15"/>
    <mergeCell ref="A14:C14"/>
    <mergeCell ref="A25:C25"/>
    <mergeCell ref="A27:C27"/>
    <mergeCell ref="A28:C28"/>
    <mergeCell ref="G2:I2"/>
    <mergeCell ref="A1:C1"/>
    <mergeCell ref="A2:C2"/>
    <mergeCell ref="A3:C3"/>
    <mergeCell ref="A4:C4"/>
    <mergeCell ref="A5:C5"/>
    <mergeCell ref="A17:C17"/>
    <mergeCell ref="A6:C6"/>
    <mergeCell ref="A7:C7"/>
    <mergeCell ref="A8:C8"/>
    <mergeCell ref="A9:C9"/>
    <mergeCell ref="A10:C10"/>
    <mergeCell ref="A11:C11"/>
    <mergeCell ref="A26:C26"/>
    <mergeCell ref="A30:C30"/>
    <mergeCell ref="A31:C31"/>
    <mergeCell ref="A32:C32"/>
    <mergeCell ref="A33:C33"/>
    <mergeCell ref="A18:C18"/>
    <mergeCell ref="A19:C19"/>
    <mergeCell ref="A21:C21"/>
    <mergeCell ref="A23:C23"/>
    <mergeCell ref="A24:C24"/>
    <mergeCell ref="A20:C20"/>
    <mergeCell ref="A36:C36"/>
    <mergeCell ref="A37:C37"/>
    <mergeCell ref="A29:C29"/>
    <mergeCell ref="A38:C38"/>
    <mergeCell ref="A39:C39"/>
    <mergeCell ref="A35:C35"/>
    <mergeCell ref="A34:C34"/>
    <mergeCell ref="A40:C40"/>
    <mergeCell ref="A50:C50"/>
    <mergeCell ref="A51:C51"/>
    <mergeCell ref="A52:C52"/>
    <mergeCell ref="A41:C41"/>
    <mergeCell ref="A42:C42"/>
    <mergeCell ref="A43:C43"/>
    <mergeCell ref="A44:C44"/>
    <mergeCell ref="A49:C49"/>
    <mergeCell ref="A45:C45"/>
    <mergeCell ref="A46:C46"/>
    <mergeCell ref="A47:C47"/>
    <mergeCell ref="A48:C48"/>
  </mergeCells>
  <conditionalFormatting sqref="A5:C28 A29 A30:C51">
    <cfRule type="expression" dxfId="2" priority="6">
      <formula>IF(D5="FAILED",TRUE,FALSE)</formula>
    </cfRule>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7"/>
  <sheetViews>
    <sheetView workbookViewId="0">
      <selection sqref="A1:G1"/>
    </sheetView>
  </sheetViews>
  <sheetFormatPr defaultColWidth="0" defaultRowHeight="12.75" customHeight="1" zeroHeight="1" x14ac:dyDescent="0.2"/>
  <cols>
    <col min="1" max="1" width="23.140625" style="32" customWidth="1"/>
    <col min="2" max="2" width="13.140625" style="32" customWidth="1"/>
    <col min="3" max="6" width="21.7109375" style="32" customWidth="1"/>
    <col min="7" max="7" width="23.85546875" style="32" customWidth="1"/>
    <col min="8" max="8" width="9" style="57" hidden="1" customWidth="1"/>
    <col min="9" max="9" width="14.5703125" style="32" hidden="1" customWidth="1"/>
    <col min="10" max="16384" width="9.140625" style="35" hidden="1"/>
  </cols>
  <sheetData>
    <row r="1" spans="1:9" s="340" customFormat="1" ht="22.5" customHeight="1" x14ac:dyDescent="0.2">
      <c r="A1" s="794" t="s">
        <v>243</v>
      </c>
      <c r="B1" s="795"/>
      <c r="C1" s="795"/>
      <c r="D1" s="795"/>
      <c r="E1" s="795"/>
      <c r="F1" s="795"/>
      <c r="G1" s="796"/>
      <c r="H1" s="165" t="s">
        <v>244</v>
      </c>
      <c r="I1" s="25"/>
    </row>
    <row r="2" spans="1:9" s="341" customFormat="1" ht="15" x14ac:dyDescent="0.25">
      <c r="A2" s="797" t="str">
        <f>Contact!A2</f>
        <v>Institution name: Derby College</v>
      </c>
      <c r="B2" s="798"/>
      <c r="C2" s="798"/>
      <c r="D2" s="798"/>
      <c r="E2" s="798"/>
      <c r="F2" s="798"/>
      <c r="G2" s="799"/>
      <c r="H2" s="166"/>
      <c r="I2" s="27"/>
    </row>
    <row r="3" spans="1:9" s="341" customFormat="1" ht="15" x14ac:dyDescent="0.25">
      <c r="A3" s="800" t="str">
        <f>Contact!A3</f>
        <v>Institution UKPRN: 10001919</v>
      </c>
      <c r="B3" s="801"/>
      <c r="C3" s="801"/>
      <c r="D3" s="801"/>
      <c r="E3" s="801"/>
      <c r="F3" s="801"/>
      <c r="G3" s="802"/>
      <c r="H3" s="166"/>
      <c r="I3" s="27"/>
    </row>
    <row r="4" spans="1:9" s="340" customFormat="1" x14ac:dyDescent="0.25">
      <c r="A4" s="28"/>
      <c r="B4" s="29"/>
      <c r="C4" s="29"/>
      <c r="D4" s="29"/>
      <c r="E4" s="29"/>
      <c r="F4" s="29"/>
      <c r="G4" s="30"/>
      <c r="H4" s="171"/>
      <c r="I4" s="25"/>
    </row>
    <row r="5" spans="1:9" ht="15" x14ac:dyDescent="0.2">
      <c r="A5" s="943" t="s">
        <v>34</v>
      </c>
      <c r="B5" s="944"/>
      <c r="C5" s="944"/>
      <c r="D5" s="944"/>
      <c r="E5" s="944"/>
      <c r="F5" s="944"/>
      <c r="G5" s="945"/>
      <c r="H5" s="175"/>
      <c r="I5" s="31" t="s">
        <v>35</v>
      </c>
    </row>
    <row r="6" spans="1:9" ht="14.25" x14ac:dyDescent="0.2">
      <c r="A6" s="946" t="s">
        <v>242</v>
      </c>
      <c r="B6" s="947"/>
      <c r="C6" s="947"/>
      <c r="D6" s="947"/>
      <c r="E6" s="947"/>
      <c r="F6" s="947"/>
      <c r="G6" s="948"/>
      <c r="H6" s="175"/>
      <c r="I6" s="34" t="str">
        <f>IF(COUNTBLANK(C13:F16)=12,"PASSED","FAILED")</f>
        <v>FAILED</v>
      </c>
    </row>
    <row r="7" spans="1:9" x14ac:dyDescent="0.2">
      <c r="A7" s="187"/>
      <c r="B7" s="188"/>
      <c r="C7" s="188"/>
      <c r="D7" s="188"/>
      <c r="E7" s="188"/>
      <c r="F7" s="188"/>
      <c r="G7" s="189"/>
      <c r="H7" s="175"/>
    </row>
    <row r="8" spans="1:9" s="340" customFormat="1" ht="15" x14ac:dyDescent="0.25">
      <c r="A8" s="803" t="s">
        <v>243</v>
      </c>
      <c r="B8" s="804"/>
      <c r="C8" s="804"/>
      <c r="D8" s="804"/>
      <c r="E8" s="804"/>
      <c r="F8" s="804"/>
      <c r="G8" s="805"/>
      <c r="H8" s="171"/>
      <c r="I8" s="25"/>
    </row>
    <row r="9" spans="1:9" s="340" customFormat="1" ht="30" customHeight="1" x14ac:dyDescent="0.25">
      <c r="A9" s="933" t="s">
        <v>530</v>
      </c>
      <c r="B9" s="934"/>
      <c r="C9" s="934"/>
      <c r="D9" s="934"/>
      <c r="E9" s="934"/>
      <c r="F9" s="934"/>
      <c r="G9" s="935"/>
      <c r="H9" s="171"/>
      <c r="I9" s="25"/>
    </row>
    <row r="10" spans="1:9" s="340" customFormat="1" ht="15" x14ac:dyDescent="0.25">
      <c r="A10" s="37"/>
      <c r="B10" s="38"/>
      <c r="C10" s="38"/>
      <c r="D10" s="38"/>
      <c r="E10" s="38"/>
      <c r="F10" s="38"/>
      <c r="G10" s="39"/>
      <c r="H10" s="171"/>
      <c r="I10" s="25"/>
    </row>
    <row r="11" spans="1:9" s="340" customFormat="1" ht="15" hidden="1" x14ac:dyDescent="0.25">
      <c r="A11" s="37"/>
      <c r="B11" s="38"/>
      <c r="C11" s="936" t="s">
        <v>245</v>
      </c>
      <c r="D11" s="936"/>
      <c r="E11" s="936"/>
      <c r="F11" s="936"/>
      <c r="G11" s="39"/>
      <c r="H11" s="292" t="s">
        <v>41</v>
      </c>
      <c r="I11" s="25"/>
    </row>
    <row r="12" spans="1:9" s="340" customFormat="1" ht="15" x14ac:dyDescent="0.25">
      <c r="A12" s="557"/>
      <c r="B12" s="558"/>
      <c r="C12" s="937" t="s">
        <v>531</v>
      </c>
      <c r="D12" s="938"/>
      <c r="E12" s="938"/>
      <c r="F12" s="939"/>
      <c r="G12" s="39"/>
      <c r="H12" s="171"/>
      <c r="I12" s="25"/>
    </row>
    <row r="13" spans="1:9" s="340" customFormat="1" ht="15" x14ac:dyDescent="0.25">
      <c r="A13" s="45"/>
      <c r="B13" s="59" t="s">
        <v>44</v>
      </c>
      <c r="C13" s="940"/>
      <c r="D13" s="941"/>
      <c r="E13" s="941"/>
      <c r="F13" s="942"/>
      <c r="G13" s="39"/>
      <c r="H13" s="43" t="s">
        <v>45</v>
      </c>
      <c r="I13" s="25"/>
    </row>
    <row r="14" spans="1:9" s="340" customFormat="1" ht="15" x14ac:dyDescent="0.25">
      <c r="A14" s="45"/>
      <c r="B14" s="60" t="s">
        <v>46</v>
      </c>
      <c r="C14" s="927"/>
      <c r="D14" s="928"/>
      <c r="E14" s="928"/>
      <c r="F14" s="929"/>
      <c r="G14" s="39"/>
      <c r="H14" s="43" t="s">
        <v>47</v>
      </c>
      <c r="I14" s="25"/>
    </row>
    <row r="15" spans="1:9" s="340" customFormat="1" ht="15" x14ac:dyDescent="0.25">
      <c r="A15" s="45"/>
      <c r="B15" s="60" t="s">
        <v>48</v>
      </c>
      <c r="C15" s="927"/>
      <c r="D15" s="928"/>
      <c r="E15" s="928"/>
      <c r="F15" s="929"/>
      <c r="G15" s="39"/>
      <c r="H15" s="43" t="s">
        <v>49</v>
      </c>
      <c r="I15" s="25"/>
    </row>
    <row r="16" spans="1:9" s="340" customFormat="1" ht="15" x14ac:dyDescent="0.25">
      <c r="A16" s="45"/>
      <c r="B16" s="61" t="s">
        <v>50</v>
      </c>
      <c r="C16" s="930"/>
      <c r="D16" s="931"/>
      <c r="E16" s="931"/>
      <c r="F16" s="932"/>
      <c r="G16" s="39"/>
      <c r="H16" s="43" t="s">
        <v>51</v>
      </c>
      <c r="I16" s="25"/>
    </row>
    <row r="17" spans="1:8" x14ac:dyDescent="0.2">
      <c r="A17" s="294"/>
      <c r="B17" s="295"/>
      <c r="C17" s="295"/>
      <c r="D17" s="295"/>
      <c r="E17" s="295"/>
      <c r="F17" s="295"/>
      <c r="G17" s="296"/>
      <c r="H17" s="198"/>
    </row>
  </sheetData>
  <sheetProtection password="9A3D" sheet="1" objects="1" scenarios="1"/>
  <mergeCells count="14">
    <mergeCell ref="A8:G8"/>
    <mergeCell ref="A1:G1"/>
    <mergeCell ref="A2:G2"/>
    <mergeCell ref="A3:G3"/>
    <mergeCell ref="A5:G5"/>
    <mergeCell ref="A6:G6"/>
    <mergeCell ref="C15:F15"/>
    <mergeCell ref="C16:F16"/>
    <mergeCell ref="A9:G9"/>
    <mergeCell ref="C11:F11"/>
    <mergeCell ref="A12:B12"/>
    <mergeCell ref="C12:F12"/>
    <mergeCell ref="C13:F13"/>
    <mergeCell ref="C14:F14"/>
  </mergeCells>
  <conditionalFormatting sqref="A6:G6">
    <cfRule type="expression" dxfId="1" priority="1">
      <formula>IF(I6="PASSED",TRUE,FALSE)</formula>
    </cfRule>
    <cfRule type="expression" dxfId="0" priority="2">
      <formula>IF(I6="FAILED",TRUE,FALSE)</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Y1019"/>
  <sheetViews>
    <sheetView topLeftCell="D48" zoomScaleNormal="100" workbookViewId="0">
      <selection activeCell="G27" sqref="G27:G75"/>
    </sheetView>
  </sheetViews>
  <sheetFormatPr defaultRowHeight="15" x14ac:dyDescent="0.25"/>
  <cols>
    <col min="1" max="1" width="30.7109375" style="301" customWidth="1"/>
    <col min="2" max="2" width="9.140625" style="301"/>
    <col min="3" max="3" width="50.7109375" style="301" customWidth="1"/>
    <col min="4" max="4" width="9.140625" style="301"/>
    <col min="5" max="5" width="76.5703125" style="301" bestFit="1" customWidth="1"/>
    <col min="6" max="6" width="9.140625" style="301"/>
    <col min="7" max="7" width="102" style="301" bestFit="1" customWidth="1"/>
    <col min="8" max="8" width="9.140625" style="301"/>
    <col min="9" max="9" width="46.5703125" style="301" customWidth="1"/>
    <col min="10" max="10" width="8.140625" style="301" customWidth="1"/>
    <col min="11" max="16384" width="9.140625" style="301"/>
  </cols>
  <sheetData>
    <row r="1" spans="1:25" ht="31.5" customHeight="1" x14ac:dyDescent="0.25">
      <c r="A1" s="949" t="s">
        <v>276</v>
      </c>
      <c r="B1" s="949"/>
      <c r="C1" s="949"/>
      <c r="D1" s="949"/>
      <c r="E1" s="949"/>
      <c r="F1" s="949"/>
      <c r="G1" s="949"/>
      <c r="H1" s="949"/>
      <c r="I1" s="949"/>
      <c r="J1" s="949"/>
      <c r="K1" s="950"/>
      <c r="L1" s="324"/>
      <c r="M1" s="324"/>
      <c r="N1" s="324"/>
      <c r="O1" s="324"/>
      <c r="P1" s="324"/>
      <c r="Q1" s="324"/>
      <c r="R1" s="324"/>
      <c r="S1" s="324"/>
      <c r="T1" s="324"/>
      <c r="U1" s="324"/>
      <c r="V1" s="324"/>
      <c r="W1" s="324"/>
      <c r="X1" s="324"/>
      <c r="Y1" s="324"/>
    </row>
    <row r="2" spans="1:25" ht="12.75" customHeight="1" x14ac:dyDescent="0.25">
      <c r="A2" s="303"/>
      <c r="B2" s="303"/>
      <c r="C2" s="303"/>
      <c r="D2" s="303"/>
      <c r="E2" s="303"/>
      <c r="F2" s="303"/>
      <c r="G2" s="303"/>
      <c r="H2" s="303"/>
      <c r="I2" s="303"/>
      <c r="J2" s="303"/>
      <c r="K2" s="303"/>
      <c r="L2" s="324"/>
      <c r="M2" s="324"/>
      <c r="N2" s="324"/>
      <c r="O2" s="324"/>
      <c r="P2" s="324"/>
      <c r="Q2" s="324"/>
      <c r="R2" s="324"/>
      <c r="S2" s="324"/>
      <c r="T2" s="324"/>
      <c r="U2" s="324"/>
      <c r="V2" s="324"/>
      <c r="W2" s="324"/>
      <c r="X2" s="324"/>
      <c r="Y2" s="324"/>
    </row>
    <row r="3" spans="1:25" ht="12.75" customHeight="1" x14ac:dyDescent="0.25">
      <c r="A3" s="327" t="s">
        <v>277</v>
      </c>
      <c r="B3" s="328"/>
      <c r="C3" s="329" t="s">
        <v>278</v>
      </c>
      <c r="D3" s="328"/>
      <c r="E3" s="327" t="s">
        <v>279</v>
      </c>
      <c r="F3" s="328"/>
      <c r="G3" s="327" t="s">
        <v>279</v>
      </c>
      <c r="H3" s="330"/>
      <c r="I3" s="327" t="s">
        <v>280</v>
      </c>
      <c r="J3" s="331"/>
      <c r="K3" s="331"/>
      <c r="L3" s="331"/>
      <c r="M3" s="331"/>
      <c r="N3" s="331"/>
      <c r="O3" s="331"/>
      <c r="P3" s="324"/>
      <c r="Q3" s="324"/>
      <c r="R3" s="324"/>
      <c r="S3" s="324"/>
      <c r="T3" s="324"/>
      <c r="U3" s="324"/>
      <c r="V3" s="324"/>
      <c r="W3" s="324"/>
    </row>
    <row r="4" spans="1:25" ht="12.75" customHeight="1" x14ac:dyDescent="0.25">
      <c r="A4" s="328"/>
      <c r="B4" s="328"/>
      <c r="C4" s="328"/>
      <c r="D4" s="328"/>
      <c r="E4" s="328"/>
      <c r="F4" s="328"/>
      <c r="G4" s="328"/>
      <c r="H4" s="332"/>
      <c r="I4" s="328"/>
      <c r="J4" s="331"/>
      <c r="K4" s="331"/>
      <c r="L4" s="331"/>
      <c r="M4" s="331"/>
      <c r="N4" s="331"/>
      <c r="O4" s="331"/>
      <c r="P4" s="324"/>
      <c r="Q4" s="324"/>
      <c r="R4" s="324"/>
      <c r="S4" s="324"/>
      <c r="T4" s="324"/>
      <c r="U4" s="324"/>
      <c r="V4" s="324"/>
      <c r="W4" s="324"/>
    </row>
    <row r="5" spans="1:25" x14ac:dyDescent="0.25">
      <c r="A5" s="333" t="s">
        <v>281</v>
      </c>
      <c r="B5" s="328"/>
      <c r="C5" s="333" t="s">
        <v>282</v>
      </c>
      <c r="D5" s="328"/>
      <c r="E5" s="333" t="s">
        <v>283</v>
      </c>
      <c r="F5" s="328"/>
      <c r="G5" s="333" t="s">
        <v>284</v>
      </c>
      <c r="H5" s="334"/>
      <c r="I5" s="333" t="s">
        <v>285</v>
      </c>
      <c r="J5" s="335"/>
      <c r="K5" s="335"/>
      <c r="L5" s="335"/>
      <c r="M5" s="335"/>
      <c r="N5" s="335"/>
      <c r="O5" s="335"/>
    </row>
    <row r="6" spans="1:25" x14ac:dyDescent="0.25">
      <c r="A6" s="336" t="s">
        <v>115</v>
      </c>
      <c r="B6" s="328"/>
      <c r="C6" s="336" t="s">
        <v>259</v>
      </c>
      <c r="D6" s="328"/>
      <c r="E6" s="336" t="s">
        <v>286</v>
      </c>
      <c r="F6" s="328"/>
      <c r="G6" s="336" t="s">
        <v>287</v>
      </c>
      <c r="H6" s="332"/>
      <c r="I6" s="336" t="s">
        <v>288</v>
      </c>
      <c r="J6" s="335"/>
      <c r="K6" s="335"/>
      <c r="L6" s="335"/>
      <c r="M6" s="335"/>
      <c r="N6" s="335"/>
      <c r="O6" s="335"/>
    </row>
    <row r="7" spans="1:25" x14ac:dyDescent="0.25">
      <c r="A7" s="336" t="s">
        <v>94</v>
      </c>
      <c r="B7" s="328"/>
      <c r="C7" s="336" t="s">
        <v>263</v>
      </c>
      <c r="D7" s="328"/>
      <c r="E7" s="336" t="s">
        <v>289</v>
      </c>
      <c r="F7" s="328"/>
      <c r="G7" s="336" t="s">
        <v>290</v>
      </c>
      <c r="H7" s="332"/>
      <c r="I7" s="336" t="s">
        <v>291</v>
      </c>
      <c r="J7" s="335"/>
      <c r="K7" s="335"/>
      <c r="L7" s="335"/>
      <c r="M7" s="335"/>
      <c r="N7" s="335"/>
      <c r="O7" s="335"/>
    </row>
    <row r="8" spans="1:25" x14ac:dyDescent="0.25">
      <c r="A8" s="328"/>
      <c r="B8" s="328"/>
      <c r="C8" s="336" t="s">
        <v>266</v>
      </c>
      <c r="D8" s="328"/>
      <c r="E8" s="336" t="s">
        <v>292</v>
      </c>
      <c r="F8" s="328"/>
      <c r="G8" s="336" t="s">
        <v>293</v>
      </c>
      <c r="H8" s="332"/>
      <c r="I8" s="336" t="s">
        <v>294</v>
      </c>
      <c r="J8" s="335"/>
      <c r="K8" s="335"/>
      <c r="L8" s="335"/>
      <c r="M8" s="335"/>
      <c r="N8" s="335"/>
      <c r="O8" s="335"/>
    </row>
    <row r="9" spans="1:25" x14ac:dyDescent="0.25">
      <c r="A9" s="333" t="s">
        <v>295</v>
      </c>
      <c r="B9" s="328"/>
      <c r="C9" s="336" t="s">
        <v>267</v>
      </c>
      <c r="D9" s="328"/>
      <c r="E9" s="336" t="s">
        <v>296</v>
      </c>
      <c r="F9" s="328"/>
      <c r="G9" s="336" t="s">
        <v>297</v>
      </c>
      <c r="H9" s="332"/>
      <c r="I9" s="336" t="s">
        <v>298</v>
      </c>
      <c r="J9" s="335"/>
      <c r="K9" s="335"/>
      <c r="L9" s="335"/>
      <c r="M9" s="335"/>
      <c r="N9" s="335"/>
      <c r="O9" s="335"/>
    </row>
    <row r="10" spans="1:25" x14ac:dyDescent="0.25">
      <c r="A10" s="336" t="s">
        <v>115</v>
      </c>
      <c r="B10" s="328"/>
      <c r="C10" s="336" t="s">
        <v>268</v>
      </c>
      <c r="D10" s="328"/>
      <c r="E10" s="336" t="s">
        <v>299</v>
      </c>
      <c r="F10" s="328"/>
      <c r="G10" s="336" t="s">
        <v>300</v>
      </c>
      <c r="H10" s="332"/>
      <c r="I10" s="336" t="s">
        <v>270</v>
      </c>
      <c r="J10" s="335"/>
      <c r="K10" s="335"/>
      <c r="L10" s="335"/>
      <c r="M10" s="335"/>
      <c r="N10" s="335"/>
      <c r="O10" s="335"/>
    </row>
    <row r="11" spans="1:25" x14ac:dyDescent="0.25">
      <c r="A11" s="336" t="s">
        <v>94</v>
      </c>
      <c r="B11" s="328"/>
      <c r="C11" s="336" t="s">
        <v>269</v>
      </c>
      <c r="D11" s="328"/>
      <c r="E11" s="336" t="s">
        <v>301</v>
      </c>
      <c r="F11" s="328"/>
      <c r="G11" s="336" t="s">
        <v>302</v>
      </c>
      <c r="H11" s="332"/>
      <c r="I11" s="328"/>
      <c r="J11" s="335"/>
      <c r="K11" s="335"/>
      <c r="L11" s="335"/>
      <c r="M11" s="335"/>
      <c r="N11" s="335"/>
      <c r="O11" s="335"/>
    </row>
    <row r="12" spans="1:25" x14ac:dyDescent="0.25">
      <c r="A12" s="336" t="s">
        <v>303</v>
      </c>
      <c r="B12" s="328"/>
      <c r="C12" s="328" t="s">
        <v>445</v>
      </c>
      <c r="D12" s="328"/>
      <c r="E12" s="336" t="s">
        <v>304</v>
      </c>
      <c r="F12" s="328"/>
      <c r="G12" s="336" t="s">
        <v>305</v>
      </c>
      <c r="H12" s="332"/>
      <c r="I12" s="333" t="s">
        <v>306</v>
      </c>
      <c r="J12" s="335"/>
      <c r="K12" s="335"/>
      <c r="L12" s="335"/>
      <c r="M12" s="335"/>
      <c r="N12" s="335"/>
      <c r="O12" s="335"/>
    </row>
    <row r="13" spans="1:25" x14ac:dyDescent="0.25">
      <c r="A13" s="328"/>
      <c r="B13" s="328"/>
      <c r="C13" s="336" t="s">
        <v>496</v>
      </c>
      <c r="D13" s="328"/>
      <c r="E13" s="336" t="s">
        <v>307</v>
      </c>
      <c r="F13" s="328"/>
      <c r="G13" s="336" t="s">
        <v>308</v>
      </c>
      <c r="H13" s="332"/>
      <c r="I13" s="336" t="s">
        <v>309</v>
      </c>
      <c r="J13" s="335"/>
      <c r="K13" s="335"/>
      <c r="L13" s="335"/>
      <c r="M13" s="335"/>
      <c r="N13" s="335"/>
      <c r="O13" s="335"/>
    </row>
    <row r="14" spans="1:25" x14ac:dyDescent="0.25">
      <c r="A14" s="328"/>
      <c r="B14" s="328"/>
      <c r="C14" s="336" t="s">
        <v>265</v>
      </c>
      <c r="D14" s="328"/>
      <c r="E14" s="336" t="s">
        <v>310</v>
      </c>
      <c r="F14" s="328"/>
      <c r="G14" s="336" t="s">
        <v>311</v>
      </c>
      <c r="H14" s="332"/>
      <c r="I14" s="336" t="s">
        <v>312</v>
      </c>
      <c r="J14" s="335"/>
      <c r="K14" s="335"/>
      <c r="L14" s="335"/>
      <c r="M14" s="335"/>
      <c r="N14" s="335"/>
      <c r="O14" s="335"/>
    </row>
    <row r="15" spans="1:25" x14ac:dyDescent="0.25">
      <c r="A15" s="328"/>
      <c r="B15" s="328"/>
      <c r="C15" s="328" t="s">
        <v>270</v>
      </c>
      <c r="D15" s="328"/>
      <c r="E15" s="336" t="s">
        <v>104</v>
      </c>
      <c r="F15" s="328"/>
      <c r="G15" s="335"/>
      <c r="H15" s="337"/>
      <c r="I15" s="336" t="s">
        <v>313</v>
      </c>
      <c r="J15" s="335"/>
      <c r="K15" s="335"/>
      <c r="L15" s="335"/>
      <c r="M15" s="335"/>
      <c r="N15" s="335"/>
      <c r="O15" s="335"/>
    </row>
    <row r="16" spans="1:25" x14ac:dyDescent="0.25">
      <c r="A16" s="328"/>
      <c r="B16" s="328"/>
      <c r="C16" s="333" t="s">
        <v>314</v>
      </c>
      <c r="D16" s="328"/>
      <c r="E16" s="336" t="s">
        <v>315</v>
      </c>
      <c r="F16" s="328"/>
      <c r="G16" s="333" t="s">
        <v>316</v>
      </c>
      <c r="H16" s="334"/>
      <c r="I16" s="336" t="s">
        <v>317</v>
      </c>
      <c r="J16" s="335"/>
      <c r="K16" s="335"/>
      <c r="L16" s="335"/>
      <c r="M16" s="335"/>
      <c r="N16" s="335"/>
      <c r="O16" s="335"/>
    </row>
    <row r="17" spans="1:15" x14ac:dyDescent="0.25">
      <c r="A17" s="328"/>
      <c r="B17" s="328"/>
      <c r="C17" s="336" t="s">
        <v>259</v>
      </c>
      <c r="D17" s="328"/>
      <c r="E17" s="336" t="s">
        <v>318</v>
      </c>
      <c r="F17" s="328"/>
      <c r="G17" s="336" t="s">
        <v>115</v>
      </c>
      <c r="H17" s="332"/>
      <c r="I17" s="328"/>
      <c r="J17" s="335"/>
      <c r="K17" s="335"/>
      <c r="L17" s="335"/>
      <c r="M17" s="335"/>
      <c r="N17" s="335"/>
      <c r="O17" s="335"/>
    </row>
    <row r="18" spans="1:15" x14ac:dyDescent="0.25">
      <c r="A18" s="328"/>
      <c r="B18" s="328"/>
      <c r="C18" s="336" t="s">
        <v>263</v>
      </c>
      <c r="D18" s="328"/>
      <c r="E18" s="336" t="s">
        <v>319</v>
      </c>
      <c r="F18" s="328"/>
      <c r="G18" s="336" t="s">
        <v>94</v>
      </c>
      <c r="H18" s="332"/>
      <c r="I18" s="333" t="s">
        <v>320</v>
      </c>
      <c r="J18" s="335"/>
      <c r="K18" s="335"/>
      <c r="L18" s="335"/>
      <c r="M18" s="335"/>
      <c r="N18" s="335"/>
      <c r="O18" s="335"/>
    </row>
    <row r="19" spans="1:15" x14ac:dyDescent="0.25">
      <c r="A19" s="328"/>
      <c r="B19" s="328"/>
      <c r="C19" s="336" t="s">
        <v>266</v>
      </c>
      <c r="D19" s="328"/>
      <c r="E19" s="336" t="s">
        <v>321</v>
      </c>
      <c r="F19" s="328"/>
      <c r="G19" s="335"/>
      <c r="H19" s="337"/>
      <c r="I19" s="336" t="s">
        <v>322</v>
      </c>
      <c r="J19" s="335"/>
      <c r="K19" s="335"/>
      <c r="L19" s="335"/>
      <c r="M19" s="335"/>
      <c r="N19" s="335"/>
      <c r="O19" s="335"/>
    </row>
    <row r="20" spans="1:15" x14ac:dyDescent="0.25">
      <c r="A20" s="328"/>
      <c r="B20" s="328"/>
      <c r="C20" s="336" t="s">
        <v>267</v>
      </c>
      <c r="D20" s="328"/>
      <c r="E20" s="336" t="s">
        <v>323</v>
      </c>
      <c r="F20" s="328"/>
      <c r="G20" s="333" t="s">
        <v>324</v>
      </c>
      <c r="H20" s="334"/>
      <c r="I20" s="336" t="s">
        <v>325</v>
      </c>
      <c r="J20" s="335"/>
      <c r="K20" s="335"/>
      <c r="L20" s="335"/>
      <c r="M20" s="335"/>
      <c r="N20" s="335"/>
      <c r="O20" s="335"/>
    </row>
    <row r="21" spans="1:15" x14ac:dyDescent="0.25">
      <c r="A21" s="328"/>
      <c r="B21" s="328"/>
      <c r="C21" s="336" t="s">
        <v>268</v>
      </c>
      <c r="D21" s="328"/>
      <c r="E21" s="335"/>
      <c r="F21" s="328"/>
      <c r="G21" s="326" t="s">
        <v>326</v>
      </c>
      <c r="H21" s="332"/>
      <c r="I21" s="336" t="s">
        <v>327</v>
      </c>
      <c r="J21" s="335"/>
      <c r="K21" s="335"/>
      <c r="L21" s="335"/>
      <c r="M21" s="335"/>
      <c r="N21" s="335"/>
      <c r="O21" s="335"/>
    </row>
    <row r="22" spans="1:15" x14ac:dyDescent="0.25">
      <c r="A22" s="328"/>
      <c r="B22" s="328"/>
      <c r="C22" s="336" t="s">
        <v>272</v>
      </c>
      <c r="D22" s="328"/>
      <c r="E22" s="333" t="s">
        <v>328</v>
      </c>
      <c r="F22" s="328"/>
      <c r="G22" s="326" t="s">
        <v>551</v>
      </c>
      <c r="H22" s="332"/>
      <c r="I22" s="336" t="s">
        <v>329</v>
      </c>
      <c r="J22" s="335"/>
      <c r="K22" s="335"/>
      <c r="L22" s="335"/>
      <c r="M22" s="335"/>
      <c r="N22" s="335"/>
      <c r="O22" s="335"/>
    </row>
    <row r="23" spans="1:15" x14ac:dyDescent="0.25">
      <c r="A23" s="328"/>
      <c r="B23" s="328"/>
      <c r="C23" s="336" t="s">
        <v>330</v>
      </c>
      <c r="D23" s="328"/>
      <c r="E23" s="326" t="s">
        <v>331</v>
      </c>
      <c r="F23" s="328"/>
      <c r="G23" s="326" t="s">
        <v>332</v>
      </c>
      <c r="H23" s="332"/>
      <c r="I23" s="336" t="s">
        <v>333</v>
      </c>
      <c r="J23" s="335"/>
      <c r="K23" s="335"/>
      <c r="L23" s="335"/>
      <c r="M23" s="335"/>
      <c r="N23" s="335"/>
      <c r="O23" s="335"/>
    </row>
    <row r="24" spans="1:15" x14ac:dyDescent="0.25">
      <c r="A24" s="328"/>
      <c r="B24" s="328"/>
      <c r="C24" s="336" t="s">
        <v>270</v>
      </c>
      <c r="D24" s="328"/>
      <c r="E24" s="326" t="s">
        <v>334</v>
      </c>
      <c r="F24" s="328"/>
      <c r="G24" s="326" t="s">
        <v>321</v>
      </c>
      <c r="H24" s="332"/>
      <c r="I24" s="338" t="s">
        <v>335</v>
      </c>
      <c r="J24" s="335"/>
      <c r="K24" s="335"/>
      <c r="L24" s="335"/>
      <c r="M24" s="335"/>
      <c r="N24" s="335"/>
      <c r="O24" s="335"/>
    </row>
    <row r="25" spans="1:15" x14ac:dyDescent="0.25">
      <c r="A25" s="328"/>
      <c r="B25" s="328"/>
      <c r="C25" s="328"/>
      <c r="D25" s="328"/>
      <c r="E25" s="326" t="s">
        <v>336</v>
      </c>
      <c r="F25" s="328"/>
      <c r="G25" s="332"/>
      <c r="H25" s="332"/>
      <c r="I25" s="336" t="s">
        <v>337</v>
      </c>
      <c r="J25" s="335"/>
      <c r="K25" s="335"/>
      <c r="L25" s="335"/>
      <c r="M25" s="335"/>
      <c r="N25" s="335"/>
      <c r="O25" s="335"/>
    </row>
    <row r="26" spans="1:15" x14ac:dyDescent="0.25">
      <c r="A26" s="328"/>
      <c r="B26" s="328"/>
      <c r="C26" s="333" t="s">
        <v>338</v>
      </c>
      <c r="D26" s="328"/>
      <c r="E26" s="326" t="s">
        <v>339</v>
      </c>
      <c r="F26" s="328"/>
      <c r="G26" s="339" t="s">
        <v>127</v>
      </c>
      <c r="H26" s="332"/>
      <c r="I26" s="336" t="s">
        <v>340</v>
      </c>
      <c r="J26" s="335"/>
      <c r="K26" s="335"/>
      <c r="L26" s="335"/>
      <c r="M26" s="335"/>
      <c r="N26" s="335"/>
      <c r="O26" s="335"/>
    </row>
    <row r="27" spans="1:15" x14ac:dyDescent="0.25">
      <c r="A27" s="328"/>
      <c r="B27" s="328"/>
      <c r="C27" s="336" t="s">
        <v>341</v>
      </c>
      <c r="D27" s="328"/>
      <c r="E27" s="326" t="s">
        <v>342</v>
      </c>
      <c r="F27" s="328"/>
      <c r="G27" s="336" t="s">
        <v>359</v>
      </c>
      <c r="H27" s="332"/>
      <c r="I27" s="335"/>
      <c r="J27" s="335"/>
      <c r="K27" s="335"/>
      <c r="L27" s="335"/>
      <c r="M27" s="335"/>
      <c r="N27" s="335"/>
      <c r="O27" s="335"/>
    </row>
    <row r="28" spans="1:15" x14ac:dyDescent="0.25">
      <c r="A28" s="328"/>
      <c r="B28" s="328"/>
      <c r="C28" s="336" t="s">
        <v>343</v>
      </c>
      <c r="D28" s="328"/>
      <c r="E28" s="326" t="s">
        <v>344</v>
      </c>
      <c r="F28" s="328"/>
      <c r="G28" s="336" t="s">
        <v>360</v>
      </c>
      <c r="H28" s="332"/>
      <c r="I28" s="335"/>
      <c r="J28" s="335"/>
      <c r="K28" s="335"/>
      <c r="L28" s="335"/>
      <c r="M28" s="335"/>
      <c r="N28" s="335"/>
      <c r="O28" s="335"/>
    </row>
    <row r="29" spans="1:15" x14ac:dyDescent="0.25">
      <c r="A29" s="328"/>
      <c r="B29" s="328"/>
      <c r="C29" s="336" t="s">
        <v>345</v>
      </c>
      <c r="D29" s="328"/>
      <c r="E29" s="326" t="s">
        <v>346</v>
      </c>
      <c r="F29" s="328"/>
      <c r="G29" s="336" t="s">
        <v>361</v>
      </c>
      <c r="H29" s="332"/>
      <c r="I29" s="335"/>
      <c r="J29" s="335"/>
      <c r="K29" s="335"/>
      <c r="L29" s="335"/>
      <c r="M29" s="335"/>
      <c r="N29" s="335"/>
      <c r="O29" s="335"/>
    </row>
    <row r="30" spans="1:15" x14ac:dyDescent="0.25">
      <c r="A30" s="328"/>
      <c r="B30" s="328"/>
      <c r="C30" s="336" t="s">
        <v>347</v>
      </c>
      <c r="D30" s="328"/>
      <c r="E30" s="326" t="s">
        <v>348</v>
      </c>
      <c r="F30" s="328"/>
      <c r="G30" s="336" t="s">
        <v>362</v>
      </c>
      <c r="H30" s="332"/>
      <c r="I30" s="328"/>
      <c r="J30" s="335"/>
      <c r="K30" s="335"/>
      <c r="L30" s="335"/>
      <c r="M30" s="335"/>
      <c r="N30" s="335"/>
      <c r="O30" s="335"/>
    </row>
    <row r="31" spans="1:15" x14ac:dyDescent="0.25">
      <c r="A31" s="328"/>
      <c r="B31" s="328"/>
      <c r="C31" s="328"/>
      <c r="D31" s="328"/>
      <c r="E31" s="326" t="s">
        <v>349</v>
      </c>
      <c r="F31" s="328"/>
      <c r="G31" s="336" t="s">
        <v>363</v>
      </c>
      <c r="H31" s="332"/>
      <c r="I31" s="328"/>
      <c r="J31" s="335"/>
      <c r="K31" s="335"/>
      <c r="L31" s="335"/>
      <c r="M31" s="335"/>
      <c r="N31" s="335"/>
      <c r="O31" s="335"/>
    </row>
    <row r="32" spans="1:15" x14ac:dyDescent="0.25">
      <c r="A32" s="328"/>
      <c r="B32" s="328"/>
      <c r="C32" s="333" t="s">
        <v>350</v>
      </c>
      <c r="D32" s="328"/>
      <c r="E32" s="326" t="s">
        <v>351</v>
      </c>
      <c r="F32" s="328"/>
      <c r="G32" s="336" t="s">
        <v>364</v>
      </c>
      <c r="H32" s="332"/>
      <c r="I32" s="328"/>
      <c r="J32" s="335"/>
      <c r="K32" s="335"/>
      <c r="L32" s="335"/>
      <c r="M32" s="335"/>
      <c r="N32" s="335"/>
      <c r="O32" s="335"/>
    </row>
    <row r="33" spans="1:15" x14ac:dyDescent="0.25">
      <c r="A33" s="328"/>
      <c r="B33" s="328"/>
      <c r="C33" s="336" t="s">
        <v>532</v>
      </c>
      <c r="D33" s="328"/>
      <c r="E33" s="326" t="s">
        <v>323</v>
      </c>
      <c r="F33" s="328"/>
      <c r="G33" s="336" t="s">
        <v>365</v>
      </c>
      <c r="H33" s="332"/>
      <c r="I33" s="328"/>
      <c r="J33" s="335"/>
      <c r="K33" s="335"/>
      <c r="L33" s="335"/>
      <c r="M33" s="335"/>
      <c r="N33" s="335"/>
      <c r="O33" s="335"/>
    </row>
    <row r="34" spans="1:15" x14ac:dyDescent="0.25">
      <c r="A34" s="328"/>
      <c r="B34" s="328"/>
      <c r="C34" s="336" t="s">
        <v>495</v>
      </c>
      <c r="D34" s="328"/>
      <c r="E34" s="335"/>
      <c r="F34" s="328"/>
      <c r="G34" s="336" t="s">
        <v>366</v>
      </c>
      <c r="H34" s="332"/>
      <c r="I34" s="328"/>
      <c r="J34" s="335"/>
      <c r="K34" s="335"/>
      <c r="L34" s="335"/>
      <c r="M34" s="335"/>
      <c r="N34" s="335"/>
      <c r="O34" s="335"/>
    </row>
    <row r="35" spans="1:15" x14ac:dyDescent="0.25">
      <c r="A35" s="328"/>
      <c r="B35" s="328"/>
      <c r="C35" s="328"/>
      <c r="D35" s="328"/>
      <c r="E35" s="333" t="s">
        <v>352</v>
      </c>
      <c r="F35" s="328"/>
      <c r="G35" s="336" t="s">
        <v>367</v>
      </c>
      <c r="H35" s="332"/>
      <c r="I35" s="328"/>
      <c r="J35" s="335"/>
      <c r="K35" s="335"/>
      <c r="L35" s="335"/>
      <c r="M35" s="335"/>
      <c r="N35" s="335"/>
      <c r="O35" s="335"/>
    </row>
    <row r="36" spans="1:15" x14ac:dyDescent="0.25">
      <c r="A36" s="328"/>
      <c r="B36" s="328"/>
      <c r="C36" s="328"/>
      <c r="D36" s="328"/>
      <c r="E36" s="326" t="s">
        <v>353</v>
      </c>
      <c r="F36" s="328"/>
      <c r="G36" s="336" t="s">
        <v>368</v>
      </c>
      <c r="H36" s="332"/>
      <c r="I36" s="328"/>
      <c r="J36" s="335"/>
      <c r="K36" s="335"/>
      <c r="L36" s="335"/>
      <c r="M36" s="335"/>
      <c r="N36" s="335"/>
      <c r="O36" s="335"/>
    </row>
    <row r="37" spans="1:15" x14ac:dyDescent="0.25">
      <c r="A37" s="328"/>
      <c r="B37" s="328"/>
      <c r="C37" s="328"/>
      <c r="D37" s="328"/>
      <c r="E37" s="326" t="s">
        <v>354</v>
      </c>
      <c r="F37" s="328"/>
      <c r="G37" s="336" t="s">
        <v>369</v>
      </c>
      <c r="H37" s="332"/>
      <c r="I37" s="328"/>
      <c r="J37" s="335"/>
      <c r="K37" s="335"/>
      <c r="L37" s="335"/>
      <c r="M37" s="335"/>
      <c r="N37" s="335"/>
      <c r="O37" s="335"/>
    </row>
    <row r="38" spans="1:15" x14ac:dyDescent="0.25">
      <c r="A38" s="328"/>
      <c r="B38" s="328"/>
      <c r="C38" s="328"/>
      <c r="D38" s="328"/>
      <c r="E38" s="326" t="s">
        <v>355</v>
      </c>
      <c r="F38" s="328"/>
      <c r="G38" s="336" t="s">
        <v>370</v>
      </c>
      <c r="H38" s="332"/>
      <c r="I38" s="328"/>
      <c r="J38" s="335"/>
      <c r="K38" s="335"/>
      <c r="L38" s="335"/>
      <c r="M38" s="335"/>
      <c r="N38" s="335"/>
      <c r="O38" s="335"/>
    </row>
    <row r="39" spans="1:15" x14ac:dyDescent="0.25">
      <c r="A39" s="328"/>
      <c r="B39" s="328"/>
      <c r="C39" s="328"/>
      <c r="D39" s="328"/>
      <c r="E39" s="326" t="s">
        <v>356</v>
      </c>
      <c r="F39" s="328"/>
      <c r="G39" s="336" t="s">
        <v>371</v>
      </c>
      <c r="H39" s="332"/>
      <c r="I39" s="328"/>
      <c r="J39" s="335"/>
      <c r="K39" s="335"/>
      <c r="L39" s="335"/>
      <c r="M39" s="335"/>
      <c r="N39" s="335"/>
      <c r="O39" s="335"/>
    </row>
    <row r="40" spans="1:15" x14ac:dyDescent="0.25">
      <c r="A40" s="328"/>
      <c r="B40" s="328"/>
      <c r="C40" s="328"/>
      <c r="D40" s="328"/>
      <c r="E40" s="326" t="s">
        <v>357</v>
      </c>
      <c r="F40" s="328"/>
      <c r="G40" s="336" t="s">
        <v>372</v>
      </c>
      <c r="H40" s="332"/>
      <c r="I40" s="328"/>
      <c r="J40" s="335"/>
      <c r="K40" s="335"/>
      <c r="L40" s="335"/>
      <c r="M40" s="335"/>
      <c r="N40" s="335"/>
      <c r="O40" s="335"/>
    </row>
    <row r="41" spans="1:15" x14ac:dyDescent="0.25">
      <c r="A41" s="328"/>
      <c r="B41" s="328"/>
      <c r="C41" s="328"/>
      <c r="D41" s="328"/>
      <c r="E41" s="326" t="s">
        <v>81</v>
      </c>
      <c r="F41" s="328"/>
      <c r="G41" s="336" t="s">
        <v>373</v>
      </c>
      <c r="H41" s="332"/>
      <c r="I41" s="328"/>
      <c r="J41" s="335"/>
      <c r="K41" s="335"/>
      <c r="L41" s="335"/>
      <c r="M41" s="335"/>
      <c r="N41" s="335"/>
      <c r="O41" s="335"/>
    </row>
    <row r="42" spans="1:15" x14ac:dyDescent="0.25">
      <c r="A42" s="328"/>
      <c r="B42" s="328"/>
      <c r="C42" s="328"/>
      <c r="D42" s="328"/>
      <c r="E42" s="326" t="s">
        <v>25</v>
      </c>
      <c r="F42" s="328"/>
      <c r="G42" s="336" t="s">
        <v>374</v>
      </c>
      <c r="H42" s="332"/>
      <c r="I42" s="328"/>
      <c r="J42" s="335"/>
      <c r="K42" s="335"/>
      <c r="L42" s="335"/>
      <c r="M42" s="335"/>
      <c r="N42" s="335"/>
      <c r="O42" s="335"/>
    </row>
    <row r="43" spans="1:15" x14ac:dyDescent="0.25">
      <c r="A43" s="328"/>
      <c r="B43" s="328"/>
      <c r="C43" s="328"/>
      <c r="D43" s="328"/>
      <c r="E43" s="326" t="s">
        <v>323</v>
      </c>
      <c r="F43" s="328"/>
      <c r="G43" s="336" t="s">
        <v>375</v>
      </c>
      <c r="H43" s="332"/>
      <c r="I43" s="328"/>
      <c r="J43" s="335"/>
      <c r="K43" s="335"/>
      <c r="L43" s="335"/>
      <c r="M43" s="335"/>
      <c r="N43" s="335"/>
      <c r="O43" s="335"/>
    </row>
    <row r="44" spans="1:15" x14ac:dyDescent="0.25">
      <c r="A44" s="328"/>
      <c r="B44" s="328"/>
      <c r="C44" s="328"/>
      <c r="D44" s="328"/>
      <c r="E44" s="335"/>
      <c r="F44" s="328"/>
      <c r="G44" s="336" t="s">
        <v>376</v>
      </c>
      <c r="H44" s="332"/>
      <c r="I44" s="328"/>
      <c r="J44" s="335"/>
      <c r="K44" s="335"/>
      <c r="L44" s="335"/>
      <c r="M44" s="335"/>
      <c r="N44" s="335"/>
      <c r="O44" s="335"/>
    </row>
    <row r="45" spans="1:15" x14ac:dyDescent="0.25">
      <c r="A45" s="328"/>
      <c r="B45" s="328"/>
      <c r="C45" s="328"/>
      <c r="D45" s="328"/>
      <c r="E45" s="335"/>
      <c r="F45" s="328"/>
      <c r="G45" s="336" t="s">
        <v>377</v>
      </c>
      <c r="H45" s="332"/>
      <c r="I45" s="328"/>
      <c r="J45" s="335"/>
      <c r="K45" s="335"/>
      <c r="L45" s="335"/>
      <c r="M45" s="335"/>
      <c r="N45" s="335"/>
      <c r="O45" s="335"/>
    </row>
    <row r="46" spans="1:15" x14ac:dyDescent="0.25">
      <c r="A46" s="328"/>
      <c r="B46" s="328"/>
      <c r="C46" s="328"/>
      <c r="D46" s="328"/>
      <c r="E46" s="335"/>
      <c r="F46" s="328"/>
      <c r="G46" s="336" t="s">
        <v>378</v>
      </c>
      <c r="H46" s="332"/>
      <c r="I46" s="328"/>
      <c r="J46" s="335"/>
      <c r="K46" s="335"/>
      <c r="L46" s="335"/>
      <c r="M46" s="335"/>
      <c r="N46" s="335"/>
      <c r="O46" s="335"/>
    </row>
    <row r="47" spans="1:15" x14ac:dyDescent="0.25">
      <c r="A47" s="328"/>
      <c r="B47" s="328"/>
      <c r="C47" s="328"/>
      <c r="D47" s="328"/>
      <c r="E47" s="335"/>
      <c r="F47" s="328"/>
      <c r="G47" s="336" t="s">
        <v>379</v>
      </c>
      <c r="H47" s="332"/>
      <c r="I47" s="328"/>
      <c r="J47" s="335"/>
      <c r="K47" s="335"/>
      <c r="L47" s="335"/>
      <c r="M47" s="335"/>
      <c r="N47" s="335"/>
      <c r="O47" s="335"/>
    </row>
    <row r="48" spans="1:15" x14ac:dyDescent="0.25">
      <c r="A48" s="328"/>
      <c r="B48" s="328"/>
      <c r="C48" s="328"/>
      <c r="D48" s="328"/>
      <c r="E48" s="335"/>
      <c r="F48" s="328"/>
      <c r="G48" s="336" t="s">
        <v>380</v>
      </c>
      <c r="H48" s="332"/>
      <c r="I48" s="328"/>
      <c r="J48" s="335"/>
      <c r="K48" s="335"/>
      <c r="L48" s="335"/>
      <c r="M48" s="335"/>
      <c r="N48" s="335"/>
      <c r="O48" s="335"/>
    </row>
    <row r="49" spans="1:15" x14ac:dyDescent="0.25">
      <c r="A49" s="328"/>
      <c r="B49" s="328"/>
      <c r="C49" s="328"/>
      <c r="D49" s="328"/>
      <c r="E49" s="335"/>
      <c r="F49" s="328"/>
      <c r="G49" s="336" t="s">
        <v>381</v>
      </c>
      <c r="H49" s="332"/>
      <c r="I49" s="328"/>
      <c r="J49" s="335"/>
      <c r="K49" s="335"/>
      <c r="L49" s="335"/>
      <c r="M49" s="335"/>
      <c r="N49" s="335"/>
      <c r="O49" s="335"/>
    </row>
    <row r="50" spans="1:15" x14ac:dyDescent="0.25">
      <c r="A50" s="328"/>
      <c r="B50" s="328"/>
      <c r="C50" s="328"/>
      <c r="D50" s="328"/>
      <c r="E50" s="335"/>
      <c r="F50" s="328"/>
      <c r="G50" s="336" t="s">
        <v>382</v>
      </c>
      <c r="H50" s="332"/>
      <c r="I50" s="328"/>
      <c r="J50" s="335"/>
      <c r="K50" s="335"/>
      <c r="L50" s="335"/>
      <c r="M50" s="335"/>
      <c r="N50" s="335"/>
      <c r="O50" s="335"/>
    </row>
    <row r="51" spans="1:15" x14ac:dyDescent="0.25">
      <c r="A51" s="328"/>
      <c r="B51" s="328"/>
      <c r="C51" s="328"/>
      <c r="D51" s="328"/>
      <c r="E51" s="328"/>
      <c r="F51" s="328"/>
      <c r="G51" s="336" t="s">
        <v>383</v>
      </c>
      <c r="H51" s="332"/>
      <c r="I51" s="328"/>
      <c r="J51" s="335"/>
      <c r="K51" s="335"/>
      <c r="L51" s="335"/>
      <c r="M51" s="335"/>
      <c r="N51" s="335"/>
      <c r="O51" s="335"/>
    </row>
    <row r="52" spans="1:15" x14ac:dyDescent="0.25">
      <c r="A52" s="328"/>
      <c r="B52" s="328"/>
      <c r="C52" s="328"/>
      <c r="D52" s="328"/>
      <c r="E52" s="328"/>
      <c r="F52" s="328"/>
      <c r="G52" s="336" t="s">
        <v>384</v>
      </c>
      <c r="H52" s="332"/>
      <c r="I52" s="328"/>
      <c r="J52" s="335"/>
      <c r="K52" s="335"/>
      <c r="L52" s="335"/>
      <c r="M52" s="335"/>
      <c r="N52" s="335"/>
      <c r="O52" s="335"/>
    </row>
    <row r="53" spans="1:15" x14ac:dyDescent="0.25">
      <c r="A53" s="328"/>
      <c r="B53" s="328"/>
      <c r="C53" s="328"/>
      <c r="D53" s="328"/>
      <c r="E53" s="328"/>
      <c r="F53" s="328"/>
      <c r="G53" s="336" t="s">
        <v>385</v>
      </c>
      <c r="H53" s="332"/>
      <c r="I53" s="328"/>
      <c r="J53" s="335"/>
      <c r="K53" s="335"/>
      <c r="L53" s="335"/>
      <c r="M53" s="335"/>
      <c r="N53" s="335"/>
      <c r="O53" s="335"/>
    </row>
    <row r="54" spans="1:15" x14ac:dyDescent="0.25">
      <c r="A54" s="328"/>
      <c r="B54" s="328"/>
      <c r="C54" s="328"/>
      <c r="D54" s="328"/>
      <c r="E54" s="328"/>
      <c r="F54" s="328"/>
      <c r="G54" s="336" t="s">
        <v>386</v>
      </c>
      <c r="H54" s="332"/>
      <c r="I54" s="328"/>
      <c r="J54" s="335"/>
      <c r="K54" s="335"/>
      <c r="L54" s="335"/>
      <c r="M54" s="335"/>
      <c r="N54" s="335"/>
      <c r="O54" s="335"/>
    </row>
    <row r="55" spans="1:15" x14ac:dyDescent="0.25">
      <c r="A55" s="328"/>
      <c r="B55" s="328"/>
      <c r="C55" s="328"/>
      <c r="D55" s="328"/>
      <c r="E55" s="328"/>
      <c r="F55" s="328"/>
      <c r="G55" s="336" t="s">
        <v>387</v>
      </c>
      <c r="H55" s="332"/>
      <c r="I55" s="328"/>
      <c r="J55" s="335"/>
      <c r="K55" s="335"/>
      <c r="L55" s="335"/>
      <c r="M55" s="335"/>
      <c r="N55" s="335"/>
      <c r="O55" s="335"/>
    </row>
    <row r="56" spans="1:15" x14ac:dyDescent="0.25">
      <c r="A56" s="328"/>
      <c r="B56" s="328"/>
      <c r="C56" s="328"/>
      <c r="D56" s="328"/>
      <c r="E56" s="328"/>
      <c r="F56" s="328"/>
      <c r="G56" s="336" t="s">
        <v>388</v>
      </c>
      <c r="H56" s="332"/>
      <c r="I56" s="328"/>
      <c r="J56" s="335"/>
      <c r="K56" s="335"/>
      <c r="L56" s="335"/>
      <c r="M56" s="335"/>
      <c r="N56" s="335"/>
      <c r="O56" s="335"/>
    </row>
    <row r="57" spans="1:15" x14ac:dyDescent="0.25">
      <c r="A57" s="328"/>
      <c r="B57" s="328"/>
      <c r="C57" s="328"/>
      <c r="D57" s="328"/>
      <c r="E57" s="328"/>
      <c r="F57" s="328"/>
      <c r="G57" s="336" t="s">
        <v>389</v>
      </c>
      <c r="H57" s="332"/>
      <c r="I57" s="328"/>
      <c r="J57" s="335"/>
      <c r="K57" s="335"/>
      <c r="L57" s="335"/>
      <c r="M57" s="335"/>
      <c r="N57" s="335"/>
      <c r="O57" s="335"/>
    </row>
    <row r="58" spans="1:15" x14ac:dyDescent="0.25">
      <c r="A58" s="328"/>
      <c r="B58" s="328"/>
      <c r="C58" s="328"/>
      <c r="D58" s="328"/>
      <c r="E58" s="328"/>
      <c r="F58" s="328"/>
      <c r="G58" s="336" t="s">
        <v>390</v>
      </c>
      <c r="H58" s="332"/>
      <c r="I58" s="328"/>
      <c r="J58" s="335"/>
      <c r="K58" s="335"/>
      <c r="L58" s="335"/>
      <c r="M58" s="335"/>
      <c r="N58" s="335"/>
      <c r="O58" s="335"/>
    </row>
    <row r="59" spans="1:15" x14ac:dyDescent="0.25">
      <c r="A59" s="328"/>
      <c r="B59" s="328"/>
      <c r="C59" s="328"/>
      <c r="D59" s="328"/>
      <c r="E59" s="328"/>
      <c r="F59" s="328"/>
      <c r="G59" s="336" t="s">
        <v>391</v>
      </c>
      <c r="H59" s="332"/>
      <c r="I59" s="328"/>
      <c r="J59" s="335"/>
      <c r="K59" s="335"/>
      <c r="L59" s="335"/>
      <c r="M59" s="335"/>
      <c r="N59" s="335"/>
      <c r="O59" s="335"/>
    </row>
    <row r="60" spans="1:15" x14ac:dyDescent="0.25">
      <c r="A60" s="328"/>
      <c r="B60" s="328"/>
      <c r="C60" s="328"/>
      <c r="D60" s="328"/>
      <c r="E60" s="328"/>
      <c r="F60" s="328"/>
      <c r="G60" s="336" t="s">
        <v>392</v>
      </c>
      <c r="H60" s="332"/>
      <c r="I60" s="328"/>
      <c r="J60" s="335"/>
      <c r="K60" s="335"/>
      <c r="L60" s="335"/>
      <c r="M60" s="335"/>
      <c r="N60" s="335"/>
      <c r="O60" s="335"/>
    </row>
    <row r="61" spans="1:15" x14ac:dyDescent="0.25">
      <c r="A61" s="328"/>
      <c r="B61" s="328"/>
      <c r="C61" s="328"/>
      <c r="D61" s="328"/>
      <c r="E61" s="328"/>
      <c r="F61" s="328"/>
      <c r="G61" s="336" t="s">
        <v>393</v>
      </c>
      <c r="H61" s="332"/>
      <c r="I61" s="328"/>
      <c r="J61" s="335"/>
      <c r="K61" s="335"/>
      <c r="L61" s="335"/>
      <c r="M61" s="335"/>
      <c r="N61" s="335"/>
      <c r="O61" s="335"/>
    </row>
    <row r="62" spans="1:15" x14ac:dyDescent="0.25">
      <c r="A62" s="328"/>
      <c r="B62" s="328"/>
      <c r="C62" s="328"/>
      <c r="D62" s="328"/>
      <c r="E62" s="328"/>
      <c r="F62" s="328"/>
      <c r="G62" s="336" t="s">
        <v>394</v>
      </c>
      <c r="H62" s="332"/>
      <c r="I62" s="328"/>
      <c r="J62" s="335"/>
      <c r="K62" s="335"/>
      <c r="L62" s="335"/>
      <c r="M62" s="335"/>
      <c r="N62" s="335"/>
      <c r="O62" s="335"/>
    </row>
    <row r="63" spans="1:15" x14ac:dyDescent="0.25">
      <c r="A63" s="328"/>
      <c r="B63" s="328"/>
      <c r="C63" s="328"/>
      <c r="D63" s="328"/>
      <c r="E63" s="328"/>
      <c r="F63" s="328"/>
      <c r="G63" s="336" t="s">
        <v>395</v>
      </c>
      <c r="H63" s="332"/>
      <c r="I63" s="328"/>
      <c r="J63" s="335"/>
      <c r="K63" s="335"/>
      <c r="L63" s="335"/>
      <c r="M63" s="335"/>
      <c r="N63" s="335"/>
      <c r="O63" s="335"/>
    </row>
    <row r="64" spans="1:15" x14ac:dyDescent="0.25">
      <c r="A64" s="328"/>
      <c r="B64" s="328"/>
      <c r="C64" s="328"/>
      <c r="D64" s="328"/>
      <c r="E64" s="328"/>
      <c r="F64" s="328"/>
      <c r="G64" s="336" t="s">
        <v>396</v>
      </c>
      <c r="H64" s="332"/>
      <c r="I64" s="328"/>
      <c r="J64" s="335"/>
      <c r="K64" s="335"/>
      <c r="L64" s="335"/>
      <c r="M64" s="335"/>
      <c r="N64" s="335"/>
      <c r="O64" s="335"/>
    </row>
    <row r="65" spans="1:15" x14ac:dyDescent="0.25">
      <c r="A65" s="328"/>
      <c r="B65" s="328"/>
      <c r="C65" s="328"/>
      <c r="D65" s="328"/>
      <c r="E65" s="328"/>
      <c r="F65" s="328"/>
      <c r="G65" s="336" t="s">
        <v>397</v>
      </c>
      <c r="H65" s="332"/>
      <c r="I65" s="328"/>
      <c r="J65" s="335"/>
      <c r="K65" s="335"/>
      <c r="L65" s="335"/>
      <c r="M65" s="335"/>
      <c r="N65" s="335"/>
      <c r="O65" s="335"/>
    </row>
    <row r="66" spans="1:15" x14ac:dyDescent="0.25">
      <c r="A66" s="328"/>
      <c r="B66" s="328"/>
      <c r="C66" s="328"/>
      <c r="D66" s="328"/>
      <c r="E66" s="328"/>
      <c r="F66" s="328"/>
      <c r="G66" s="336" t="s">
        <v>398</v>
      </c>
      <c r="H66" s="332"/>
      <c r="I66" s="328"/>
      <c r="J66" s="335"/>
      <c r="K66" s="335"/>
      <c r="L66" s="335"/>
      <c r="M66" s="335"/>
      <c r="N66" s="335"/>
      <c r="O66" s="335"/>
    </row>
    <row r="67" spans="1:15" x14ac:dyDescent="0.25">
      <c r="A67" s="328"/>
      <c r="B67" s="328"/>
      <c r="C67" s="328"/>
      <c r="D67" s="328"/>
      <c r="E67" s="328"/>
      <c r="F67" s="328"/>
      <c r="G67" s="336" t="s">
        <v>399</v>
      </c>
      <c r="H67" s="332"/>
      <c r="I67" s="328"/>
      <c r="J67" s="335"/>
      <c r="K67" s="335"/>
      <c r="L67" s="335"/>
      <c r="M67" s="335"/>
      <c r="N67" s="335"/>
      <c r="O67" s="335"/>
    </row>
    <row r="68" spans="1:15" x14ac:dyDescent="0.25">
      <c r="A68" s="328"/>
      <c r="B68" s="328"/>
      <c r="C68" s="328"/>
      <c r="D68" s="328"/>
      <c r="E68" s="328"/>
      <c r="F68" s="328"/>
      <c r="G68" s="336" t="s">
        <v>400</v>
      </c>
      <c r="H68" s="332"/>
      <c r="I68" s="328"/>
      <c r="J68" s="335"/>
      <c r="K68" s="335"/>
      <c r="L68" s="335"/>
      <c r="M68" s="335"/>
      <c r="N68" s="335"/>
      <c r="O68" s="335"/>
    </row>
    <row r="69" spans="1:15" x14ac:dyDescent="0.25">
      <c r="A69" s="328"/>
      <c r="B69" s="328"/>
      <c r="C69" s="328"/>
      <c r="D69" s="328"/>
      <c r="E69" s="328"/>
      <c r="F69" s="328"/>
      <c r="G69" s="336" t="s">
        <v>401</v>
      </c>
      <c r="H69" s="332"/>
      <c r="I69" s="328"/>
      <c r="J69" s="335"/>
      <c r="K69" s="335"/>
      <c r="L69" s="335"/>
      <c r="M69" s="335"/>
      <c r="N69" s="335"/>
      <c r="O69" s="335"/>
    </row>
    <row r="70" spans="1:15" x14ac:dyDescent="0.25">
      <c r="A70" s="328"/>
      <c r="B70" s="328"/>
      <c r="C70" s="328"/>
      <c r="D70" s="328"/>
      <c r="E70" s="328"/>
      <c r="F70" s="328"/>
      <c r="G70" s="336" t="s">
        <v>402</v>
      </c>
      <c r="H70" s="332"/>
      <c r="I70" s="328"/>
      <c r="J70" s="335"/>
      <c r="K70" s="335"/>
      <c r="L70" s="335"/>
      <c r="M70" s="335"/>
      <c r="N70" s="335"/>
      <c r="O70" s="335"/>
    </row>
    <row r="71" spans="1:15" x14ac:dyDescent="0.25">
      <c r="A71" s="328"/>
      <c r="B71" s="328"/>
      <c r="C71" s="328"/>
      <c r="D71" s="328"/>
      <c r="E71" s="328"/>
      <c r="F71" s="328"/>
      <c r="G71" s="336" t="s">
        <v>403</v>
      </c>
      <c r="H71" s="332"/>
      <c r="I71" s="328"/>
      <c r="J71" s="335"/>
      <c r="K71" s="335"/>
      <c r="L71" s="335"/>
      <c r="M71" s="335"/>
      <c r="N71" s="335"/>
      <c r="O71" s="335"/>
    </row>
    <row r="72" spans="1:15" x14ac:dyDescent="0.25">
      <c r="A72" s="328"/>
      <c r="B72" s="328"/>
      <c r="C72" s="328"/>
      <c r="D72" s="328"/>
      <c r="E72" s="328"/>
      <c r="F72" s="328"/>
      <c r="G72" s="336" t="s">
        <v>404</v>
      </c>
      <c r="H72" s="332"/>
      <c r="I72" s="328"/>
      <c r="J72" s="335"/>
      <c r="K72" s="335"/>
      <c r="L72" s="335"/>
      <c r="M72" s="335"/>
      <c r="N72" s="335"/>
      <c r="O72" s="335"/>
    </row>
    <row r="73" spans="1:15" x14ac:dyDescent="0.25">
      <c r="A73" s="303"/>
      <c r="B73" s="303"/>
      <c r="C73" s="303"/>
      <c r="D73" s="303"/>
      <c r="E73" s="303"/>
      <c r="F73" s="303"/>
      <c r="G73" s="325"/>
      <c r="H73" s="325"/>
      <c r="I73" s="303"/>
    </row>
    <row r="74" spans="1:15" x14ac:dyDescent="0.25">
      <c r="A74" s="303"/>
      <c r="B74" s="303"/>
      <c r="C74" s="303"/>
      <c r="D74" s="303"/>
      <c r="E74" s="303"/>
      <c r="F74" s="303"/>
      <c r="G74" s="325"/>
      <c r="H74" s="325"/>
      <c r="I74" s="303"/>
    </row>
    <row r="75" spans="1:15" x14ac:dyDescent="0.25">
      <c r="A75" s="303"/>
      <c r="B75" s="303"/>
      <c r="C75" s="303"/>
      <c r="D75" s="303"/>
      <c r="E75" s="303"/>
      <c r="F75" s="303"/>
      <c r="G75" s="325"/>
      <c r="H75" s="325"/>
      <c r="I75" s="303"/>
    </row>
    <row r="76" spans="1:15" x14ac:dyDescent="0.25">
      <c r="A76" s="303"/>
      <c r="B76" s="303"/>
      <c r="C76" s="303"/>
      <c r="D76" s="303"/>
      <c r="E76" s="303"/>
      <c r="F76" s="303"/>
      <c r="G76" s="325"/>
      <c r="H76" s="325"/>
      <c r="I76" s="303"/>
    </row>
    <row r="77" spans="1:15" x14ac:dyDescent="0.25">
      <c r="A77" s="303"/>
      <c r="B77" s="303"/>
      <c r="C77" s="303"/>
      <c r="D77" s="303"/>
      <c r="E77" s="303"/>
      <c r="F77" s="303"/>
      <c r="G77" s="325"/>
      <c r="H77" s="325"/>
      <c r="I77" s="303"/>
    </row>
    <row r="78" spans="1:15" x14ac:dyDescent="0.25">
      <c r="A78" s="303"/>
      <c r="B78" s="303"/>
      <c r="C78" s="303"/>
      <c r="D78" s="303"/>
      <c r="E78" s="303"/>
      <c r="F78" s="303"/>
      <c r="G78" s="325"/>
      <c r="H78" s="325"/>
      <c r="I78" s="303"/>
    </row>
    <row r="79" spans="1:15" x14ac:dyDescent="0.25">
      <c r="A79" s="303"/>
      <c r="B79" s="303"/>
      <c r="C79" s="303"/>
      <c r="D79" s="303"/>
      <c r="E79" s="303"/>
      <c r="F79" s="303"/>
      <c r="G79" s="325"/>
      <c r="H79" s="325"/>
      <c r="I79" s="303"/>
    </row>
    <row r="80" spans="1:15" x14ac:dyDescent="0.25">
      <c r="A80" s="303"/>
      <c r="B80" s="303"/>
      <c r="C80" s="303"/>
      <c r="D80" s="303"/>
      <c r="E80" s="303"/>
      <c r="F80" s="303"/>
      <c r="G80" s="325"/>
      <c r="H80" s="325"/>
      <c r="I80" s="303"/>
    </row>
    <row r="81" spans="1:9" x14ac:dyDescent="0.25">
      <c r="A81" s="303"/>
      <c r="B81" s="303"/>
      <c r="C81" s="303"/>
      <c r="D81" s="303"/>
      <c r="E81" s="303"/>
      <c r="F81" s="303"/>
      <c r="G81" s="325"/>
      <c r="H81" s="325"/>
      <c r="I81" s="303"/>
    </row>
    <row r="82" spans="1:9" x14ac:dyDescent="0.25">
      <c r="A82" s="303"/>
      <c r="B82" s="303"/>
      <c r="C82" s="303"/>
      <c r="D82" s="303"/>
      <c r="E82" s="303"/>
      <c r="F82" s="303"/>
      <c r="G82" s="325"/>
      <c r="H82" s="325"/>
      <c r="I82" s="303"/>
    </row>
    <row r="83" spans="1:9" x14ac:dyDescent="0.25">
      <c r="A83" s="303"/>
      <c r="B83" s="303"/>
      <c r="C83" s="303"/>
      <c r="D83" s="303"/>
      <c r="E83" s="303"/>
      <c r="F83" s="303"/>
      <c r="G83" s="325"/>
      <c r="H83" s="325"/>
      <c r="I83" s="303"/>
    </row>
    <row r="84" spans="1:9" x14ac:dyDescent="0.25">
      <c r="A84" s="303"/>
      <c r="B84" s="303"/>
      <c r="C84" s="303"/>
      <c r="D84" s="303"/>
      <c r="E84" s="303"/>
      <c r="F84" s="303"/>
      <c r="G84" s="325"/>
      <c r="H84" s="325"/>
      <c r="I84" s="303"/>
    </row>
    <row r="85" spans="1:9" x14ac:dyDescent="0.25">
      <c r="A85" s="303"/>
      <c r="B85" s="303"/>
      <c r="C85" s="303"/>
      <c r="D85" s="303"/>
      <c r="E85" s="303"/>
      <c r="F85" s="303"/>
      <c r="G85" s="325"/>
      <c r="H85" s="325"/>
      <c r="I85" s="303"/>
    </row>
    <row r="86" spans="1:9" x14ac:dyDescent="0.25">
      <c r="A86" s="303"/>
      <c r="B86" s="303"/>
      <c r="C86" s="303"/>
      <c r="D86" s="303"/>
      <c r="E86" s="303"/>
      <c r="F86" s="303"/>
      <c r="G86" s="325"/>
      <c r="H86" s="325"/>
      <c r="I86" s="303"/>
    </row>
    <row r="87" spans="1:9" x14ac:dyDescent="0.25">
      <c r="A87" s="303"/>
      <c r="B87" s="303"/>
      <c r="C87" s="303"/>
      <c r="D87" s="303"/>
      <c r="E87" s="303"/>
      <c r="F87" s="303"/>
      <c r="G87" s="325"/>
      <c r="H87" s="325"/>
      <c r="I87" s="303"/>
    </row>
    <row r="88" spans="1:9" x14ac:dyDescent="0.25">
      <c r="A88" s="303"/>
      <c r="B88" s="303"/>
      <c r="C88" s="303"/>
      <c r="D88" s="303"/>
      <c r="E88" s="303"/>
      <c r="F88" s="303"/>
      <c r="G88" s="325"/>
      <c r="H88" s="325"/>
      <c r="I88" s="303"/>
    </row>
    <row r="89" spans="1:9" x14ac:dyDescent="0.25">
      <c r="A89" s="303"/>
      <c r="B89" s="303"/>
      <c r="C89" s="303"/>
      <c r="D89" s="303"/>
      <c r="E89" s="303"/>
      <c r="F89" s="303"/>
      <c r="G89" s="325"/>
      <c r="H89" s="325"/>
      <c r="I89" s="303"/>
    </row>
    <row r="90" spans="1:9" x14ac:dyDescent="0.25">
      <c r="A90" s="303"/>
      <c r="B90" s="303"/>
      <c r="C90" s="303"/>
      <c r="D90" s="303"/>
      <c r="E90" s="303"/>
      <c r="F90" s="303"/>
      <c r="G90" s="325"/>
      <c r="H90" s="325"/>
      <c r="I90" s="303"/>
    </row>
    <row r="91" spans="1:9" x14ac:dyDescent="0.25">
      <c r="A91" s="303"/>
      <c r="B91" s="303"/>
      <c r="C91" s="303"/>
      <c r="D91" s="303"/>
      <c r="E91" s="303"/>
      <c r="F91" s="303"/>
      <c r="G91" s="325"/>
      <c r="H91" s="325"/>
      <c r="I91" s="303"/>
    </row>
    <row r="92" spans="1:9" x14ac:dyDescent="0.25">
      <c r="A92" s="303"/>
      <c r="B92" s="303"/>
      <c r="C92" s="303"/>
      <c r="D92" s="303"/>
      <c r="E92" s="303"/>
      <c r="F92" s="303"/>
      <c r="G92" s="325"/>
      <c r="H92" s="325"/>
      <c r="I92" s="303"/>
    </row>
    <row r="93" spans="1:9" x14ac:dyDescent="0.25">
      <c r="A93" s="303"/>
      <c r="B93" s="303"/>
      <c r="C93" s="303"/>
      <c r="D93" s="303"/>
      <c r="E93" s="303"/>
      <c r="F93" s="303"/>
      <c r="G93" s="325"/>
      <c r="H93" s="325"/>
      <c r="I93" s="303"/>
    </row>
    <row r="94" spans="1:9" x14ac:dyDescent="0.25">
      <c r="A94" s="303"/>
      <c r="B94" s="303"/>
      <c r="C94" s="303"/>
      <c r="D94" s="303"/>
      <c r="E94" s="303"/>
      <c r="F94" s="303"/>
      <c r="G94" s="325"/>
      <c r="H94" s="325"/>
      <c r="I94" s="303"/>
    </row>
    <row r="95" spans="1:9" x14ac:dyDescent="0.25">
      <c r="A95" s="303"/>
      <c r="B95" s="303"/>
      <c r="C95" s="303"/>
      <c r="D95" s="303"/>
      <c r="E95" s="303"/>
      <c r="F95" s="303"/>
      <c r="G95" s="325"/>
      <c r="H95" s="325"/>
      <c r="I95" s="303"/>
    </row>
    <row r="96" spans="1:9" x14ac:dyDescent="0.25">
      <c r="A96" s="303"/>
      <c r="B96" s="303"/>
      <c r="C96" s="303"/>
      <c r="D96" s="303"/>
      <c r="E96" s="303"/>
      <c r="F96" s="303"/>
      <c r="G96" s="325"/>
      <c r="H96" s="325"/>
      <c r="I96" s="303"/>
    </row>
    <row r="97" spans="1:9" x14ac:dyDescent="0.25">
      <c r="A97" s="303"/>
      <c r="B97" s="303"/>
      <c r="C97" s="303"/>
      <c r="D97" s="303"/>
      <c r="E97" s="303"/>
      <c r="F97" s="303"/>
      <c r="G97" s="325"/>
      <c r="H97" s="325"/>
      <c r="I97" s="303"/>
    </row>
    <row r="98" spans="1:9" x14ac:dyDescent="0.25">
      <c r="A98" s="303"/>
      <c r="B98" s="303"/>
      <c r="C98" s="303"/>
      <c r="D98" s="303"/>
      <c r="E98" s="303"/>
      <c r="F98" s="303"/>
      <c r="G98" s="325"/>
      <c r="H98" s="325"/>
      <c r="I98" s="303"/>
    </row>
    <row r="99" spans="1:9" x14ac:dyDescent="0.25">
      <c r="A99" s="303"/>
      <c r="B99" s="303"/>
      <c r="C99" s="303"/>
      <c r="D99" s="303"/>
      <c r="E99" s="303"/>
      <c r="F99" s="303"/>
      <c r="G99" s="325"/>
      <c r="H99" s="325"/>
      <c r="I99" s="303"/>
    </row>
    <row r="100" spans="1:9" x14ac:dyDescent="0.25">
      <c r="A100" s="303"/>
      <c r="B100" s="303"/>
      <c r="C100" s="303"/>
      <c r="D100" s="303"/>
      <c r="E100" s="303"/>
      <c r="F100" s="303"/>
      <c r="G100" s="325"/>
      <c r="H100" s="325"/>
      <c r="I100" s="303"/>
    </row>
    <row r="101" spans="1:9" x14ac:dyDescent="0.25">
      <c r="A101" s="303"/>
      <c r="B101" s="303"/>
      <c r="C101" s="303"/>
      <c r="D101" s="303"/>
      <c r="E101" s="303"/>
      <c r="F101" s="303"/>
      <c r="G101" s="325"/>
      <c r="H101" s="325"/>
      <c r="I101" s="303"/>
    </row>
    <row r="102" spans="1:9" x14ac:dyDescent="0.25">
      <c r="A102" s="303"/>
      <c r="B102" s="303"/>
      <c r="C102" s="303"/>
      <c r="D102" s="303"/>
      <c r="E102" s="303"/>
      <c r="F102" s="303"/>
      <c r="G102" s="325"/>
      <c r="H102" s="325"/>
      <c r="I102" s="303"/>
    </row>
    <row r="103" spans="1:9" x14ac:dyDescent="0.25">
      <c r="A103" s="303"/>
      <c r="B103" s="303"/>
      <c r="C103" s="303"/>
      <c r="D103" s="303"/>
      <c r="E103" s="303"/>
      <c r="F103" s="303"/>
      <c r="G103" s="325"/>
      <c r="H103" s="325"/>
      <c r="I103" s="303"/>
    </row>
    <row r="104" spans="1:9" x14ac:dyDescent="0.25">
      <c r="A104" s="303"/>
      <c r="B104" s="303"/>
      <c r="C104" s="303"/>
      <c r="D104" s="303"/>
      <c r="E104" s="303"/>
      <c r="F104" s="303"/>
      <c r="G104" s="325"/>
      <c r="H104" s="325"/>
      <c r="I104" s="303"/>
    </row>
    <row r="105" spans="1:9" x14ac:dyDescent="0.25">
      <c r="A105" s="303"/>
      <c r="B105" s="303"/>
      <c r="C105" s="303"/>
      <c r="D105" s="303"/>
      <c r="E105" s="303"/>
      <c r="F105" s="303"/>
      <c r="G105" s="325"/>
      <c r="H105" s="325"/>
      <c r="I105" s="303"/>
    </row>
    <row r="106" spans="1:9" x14ac:dyDescent="0.25">
      <c r="A106" s="303"/>
      <c r="B106" s="303"/>
      <c r="C106" s="303"/>
      <c r="D106" s="303"/>
      <c r="E106" s="303"/>
      <c r="F106" s="303"/>
      <c r="G106" s="325"/>
      <c r="H106" s="325"/>
      <c r="I106" s="303"/>
    </row>
    <row r="107" spans="1:9" x14ac:dyDescent="0.25">
      <c r="A107" s="303"/>
      <c r="B107" s="303"/>
      <c r="C107" s="303"/>
      <c r="D107" s="303"/>
      <c r="E107" s="303"/>
      <c r="F107" s="303"/>
      <c r="G107" s="325"/>
      <c r="H107" s="325"/>
      <c r="I107" s="303"/>
    </row>
    <row r="108" spans="1:9" x14ac:dyDescent="0.25">
      <c r="A108" s="303"/>
      <c r="B108" s="303"/>
      <c r="C108" s="303"/>
      <c r="D108" s="303"/>
      <c r="E108" s="303"/>
      <c r="F108" s="303"/>
      <c r="G108" s="325"/>
      <c r="H108" s="325"/>
      <c r="I108" s="303"/>
    </row>
    <row r="109" spans="1:9" x14ac:dyDescent="0.25">
      <c r="A109" s="303"/>
      <c r="B109" s="303"/>
      <c r="C109" s="303"/>
      <c r="D109" s="303"/>
      <c r="E109" s="303"/>
      <c r="F109" s="303"/>
      <c r="G109" s="325"/>
      <c r="H109" s="325"/>
      <c r="I109" s="303"/>
    </row>
    <row r="110" spans="1:9" x14ac:dyDescent="0.25">
      <c r="A110" s="303"/>
      <c r="B110" s="303"/>
      <c r="C110" s="303"/>
      <c r="D110" s="303"/>
      <c r="E110" s="303"/>
      <c r="F110" s="303"/>
      <c r="G110" s="325"/>
      <c r="H110" s="325"/>
      <c r="I110" s="303"/>
    </row>
    <row r="111" spans="1:9" x14ac:dyDescent="0.25">
      <c r="A111" s="303"/>
      <c r="B111" s="303"/>
      <c r="C111" s="303"/>
      <c r="D111" s="303"/>
      <c r="E111" s="303"/>
      <c r="F111" s="303"/>
      <c r="G111" s="325"/>
      <c r="H111" s="325"/>
      <c r="I111" s="303"/>
    </row>
    <row r="112" spans="1:9" x14ac:dyDescent="0.25">
      <c r="A112" s="303"/>
      <c r="B112" s="303"/>
      <c r="C112" s="303"/>
      <c r="D112" s="303"/>
      <c r="E112" s="303"/>
      <c r="F112" s="303"/>
      <c r="G112" s="325"/>
      <c r="H112" s="325"/>
      <c r="I112" s="303"/>
    </row>
    <row r="113" spans="1:9" x14ac:dyDescent="0.25">
      <c r="A113" s="303"/>
      <c r="B113" s="303"/>
      <c r="C113" s="303"/>
      <c r="D113" s="303"/>
      <c r="E113" s="303"/>
      <c r="F113" s="303"/>
      <c r="G113" s="325"/>
      <c r="H113" s="325"/>
      <c r="I113" s="303"/>
    </row>
    <row r="114" spans="1:9" x14ac:dyDescent="0.25">
      <c r="A114" s="303"/>
      <c r="B114" s="303"/>
      <c r="C114" s="303"/>
      <c r="D114" s="303"/>
      <c r="E114" s="303"/>
      <c r="F114" s="303"/>
      <c r="G114" s="325"/>
      <c r="H114" s="325"/>
      <c r="I114" s="303"/>
    </row>
    <row r="115" spans="1:9" x14ac:dyDescent="0.25">
      <c r="A115" s="303"/>
      <c r="B115" s="303"/>
      <c r="C115" s="303"/>
      <c r="D115" s="303"/>
      <c r="E115" s="303"/>
      <c r="F115" s="303"/>
      <c r="G115" s="325"/>
      <c r="H115" s="325"/>
      <c r="I115" s="303"/>
    </row>
    <row r="116" spans="1:9" x14ac:dyDescent="0.25">
      <c r="A116" s="303"/>
      <c r="B116" s="303"/>
      <c r="C116" s="303"/>
      <c r="D116" s="303"/>
      <c r="E116" s="303"/>
      <c r="F116" s="303"/>
      <c r="G116" s="325"/>
      <c r="H116" s="325"/>
      <c r="I116" s="303"/>
    </row>
    <row r="117" spans="1:9" x14ac:dyDescent="0.25">
      <c r="A117" s="303"/>
      <c r="B117" s="303"/>
      <c r="C117" s="303"/>
      <c r="D117" s="303"/>
      <c r="E117" s="303"/>
      <c r="F117" s="303"/>
      <c r="G117" s="325"/>
      <c r="H117" s="325"/>
      <c r="I117" s="303"/>
    </row>
    <row r="118" spans="1:9" x14ac:dyDescent="0.25">
      <c r="A118" s="303"/>
      <c r="B118" s="303"/>
      <c r="C118" s="303"/>
      <c r="D118" s="303"/>
      <c r="E118" s="303"/>
      <c r="F118" s="303"/>
      <c r="G118" s="325"/>
      <c r="H118" s="325"/>
      <c r="I118" s="303"/>
    </row>
    <row r="119" spans="1:9" x14ac:dyDescent="0.25">
      <c r="A119" s="303"/>
      <c r="B119" s="303"/>
      <c r="C119" s="303"/>
      <c r="D119" s="303"/>
      <c r="E119" s="303"/>
      <c r="F119" s="303"/>
      <c r="G119" s="325"/>
      <c r="H119" s="325"/>
      <c r="I119" s="303"/>
    </row>
    <row r="120" spans="1:9" x14ac:dyDescent="0.25">
      <c r="A120" s="303"/>
      <c r="B120" s="303"/>
      <c r="C120" s="303"/>
      <c r="D120" s="303"/>
      <c r="E120" s="303"/>
      <c r="F120" s="303"/>
      <c r="G120" s="325"/>
      <c r="H120" s="325"/>
      <c r="I120" s="303"/>
    </row>
    <row r="121" spans="1:9" x14ac:dyDescent="0.25">
      <c r="A121" s="303"/>
      <c r="B121" s="303"/>
      <c r="C121" s="303"/>
      <c r="D121" s="303"/>
      <c r="E121" s="303"/>
      <c r="F121" s="303"/>
      <c r="G121" s="325"/>
      <c r="H121" s="325"/>
      <c r="I121" s="303"/>
    </row>
    <row r="122" spans="1:9" x14ac:dyDescent="0.25">
      <c r="A122" s="303"/>
      <c r="B122" s="303"/>
      <c r="C122" s="303"/>
      <c r="D122" s="303"/>
      <c r="E122" s="303"/>
      <c r="F122" s="303"/>
      <c r="G122" s="325"/>
      <c r="H122" s="325"/>
      <c r="I122" s="303"/>
    </row>
    <row r="123" spans="1:9" x14ac:dyDescent="0.25">
      <c r="A123" s="303"/>
      <c r="B123" s="303"/>
      <c r="C123" s="303"/>
      <c r="D123" s="303"/>
      <c r="E123" s="303"/>
      <c r="F123" s="303"/>
      <c r="G123" s="325"/>
      <c r="H123" s="325"/>
      <c r="I123" s="303"/>
    </row>
    <row r="124" spans="1:9" x14ac:dyDescent="0.25">
      <c r="A124" s="303"/>
      <c r="B124" s="303"/>
      <c r="C124" s="303"/>
      <c r="D124" s="303"/>
      <c r="E124" s="303"/>
      <c r="F124" s="303"/>
      <c r="G124" s="325"/>
      <c r="H124" s="325"/>
      <c r="I124" s="303"/>
    </row>
    <row r="125" spans="1:9" x14ac:dyDescent="0.25">
      <c r="A125" s="303"/>
      <c r="B125" s="303"/>
      <c r="C125" s="303"/>
      <c r="D125" s="303"/>
      <c r="E125" s="303"/>
      <c r="F125" s="303"/>
      <c r="G125" s="325"/>
      <c r="H125" s="325"/>
      <c r="I125" s="303"/>
    </row>
    <row r="126" spans="1:9" x14ac:dyDescent="0.25">
      <c r="A126" s="303"/>
      <c r="B126" s="303"/>
      <c r="C126" s="303"/>
      <c r="D126" s="303"/>
      <c r="E126" s="303"/>
      <c r="F126" s="303"/>
      <c r="G126" s="325"/>
      <c r="H126" s="325"/>
      <c r="I126" s="303"/>
    </row>
    <row r="127" spans="1:9" x14ac:dyDescent="0.25">
      <c r="A127" s="303"/>
      <c r="B127" s="303"/>
      <c r="C127" s="303"/>
      <c r="D127" s="303"/>
      <c r="E127" s="303"/>
      <c r="F127" s="303"/>
      <c r="G127" s="325"/>
      <c r="H127" s="325"/>
      <c r="I127" s="303"/>
    </row>
    <row r="128" spans="1:9" x14ac:dyDescent="0.25">
      <c r="A128" s="303"/>
      <c r="B128" s="303"/>
      <c r="C128" s="303"/>
      <c r="D128" s="303"/>
      <c r="E128" s="303"/>
      <c r="F128" s="303"/>
      <c r="G128" s="325"/>
      <c r="H128" s="325"/>
      <c r="I128" s="303"/>
    </row>
    <row r="129" spans="1:9" x14ac:dyDescent="0.25">
      <c r="A129" s="303"/>
      <c r="B129" s="303"/>
      <c r="C129" s="303"/>
      <c r="D129" s="303"/>
      <c r="E129" s="303"/>
      <c r="F129" s="303"/>
      <c r="G129" s="325"/>
      <c r="H129" s="325"/>
      <c r="I129" s="303"/>
    </row>
    <row r="130" spans="1:9" x14ac:dyDescent="0.25">
      <c r="A130" s="303"/>
      <c r="B130" s="303"/>
      <c r="C130" s="303"/>
      <c r="D130" s="303"/>
      <c r="E130" s="303"/>
      <c r="F130" s="303"/>
      <c r="G130" s="325"/>
      <c r="H130" s="325"/>
      <c r="I130" s="303"/>
    </row>
    <row r="131" spans="1:9" x14ac:dyDescent="0.25">
      <c r="A131" s="303"/>
      <c r="B131" s="303"/>
      <c r="C131" s="303"/>
      <c r="D131" s="303"/>
      <c r="E131" s="303"/>
      <c r="F131" s="303"/>
      <c r="G131" s="325"/>
      <c r="H131" s="325"/>
      <c r="I131" s="303"/>
    </row>
    <row r="132" spans="1:9" x14ac:dyDescent="0.25">
      <c r="A132" s="303"/>
      <c r="B132" s="303"/>
      <c r="C132" s="303"/>
      <c r="D132" s="303"/>
      <c r="E132" s="303"/>
      <c r="F132" s="303"/>
      <c r="G132" s="325"/>
      <c r="H132" s="325"/>
      <c r="I132" s="303"/>
    </row>
    <row r="133" spans="1:9" x14ac:dyDescent="0.25">
      <c r="A133" s="303"/>
      <c r="B133" s="303"/>
      <c r="C133" s="303"/>
      <c r="D133" s="303"/>
      <c r="E133" s="303"/>
      <c r="F133" s="303"/>
      <c r="G133" s="325"/>
      <c r="H133" s="325"/>
      <c r="I133" s="303"/>
    </row>
    <row r="134" spans="1:9" x14ac:dyDescent="0.25">
      <c r="A134" s="303"/>
      <c r="B134" s="303"/>
      <c r="C134" s="303"/>
      <c r="D134" s="303"/>
      <c r="E134" s="303"/>
      <c r="F134" s="303"/>
      <c r="G134" s="325"/>
      <c r="H134" s="325"/>
      <c r="I134" s="303"/>
    </row>
    <row r="135" spans="1:9" x14ac:dyDescent="0.25">
      <c r="A135" s="303"/>
      <c r="B135" s="303"/>
      <c r="C135" s="303"/>
      <c r="D135" s="303"/>
      <c r="E135" s="303"/>
      <c r="F135" s="303"/>
      <c r="G135" s="325"/>
      <c r="H135" s="325"/>
      <c r="I135" s="303"/>
    </row>
    <row r="136" spans="1:9" x14ac:dyDescent="0.25">
      <c r="A136" s="303"/>
      <c r="B136" s="303"/>
      <c r="C136" s="303"/>
      <c r="D136" s="303"/>
      <c r="E136" s="303"/>
      <c r="F136" s="303"/>
      <c r="G136" s="325"/>
      <c r="H136" s="325"/>
      <c r="I136" s="303"/>
    </row>
    <row r="137" spans="1:9" x14ac:dyDescent="0.25">
      <c r="A137" s="303"/>
      <c r="B137" s="303"/>
      <c r="C137" s="303"/>
      <c r="D137" s="303"/>
      <c r="E137" s="303"/>
      <c r="F137" s="303"/>
      <c r="G137" s="325"/>
      <c r="H137" s="325"/>
      <c r="I137" s="303"/>
    </row>
    <row r="138" spans="1:9" x14ac:dyDescent="0.25">
      <c r="A138" s="303"/>
      <c r="B138" s="303"/>
      <c r="C138" s="303"/>
      <c r="D138" s="303"/>
      <c r="E138" s="303"/>
      <c r="F138" s="303"/>
      <c r="G138" s="325"/>
      <c r="H138" s="325"/>
      <c r="I138" s="303"/>
    </row>
    <row r="139" spans="1:9" x14ac:dyDescent="0.25">
      <c r="A139" s="303"/>
      <c r="B139" s="303"/>
      <c r="C139" s="303"/>
      <c r="D139" s="303"/>
      <c r="E139" s="303"/>
      <c r="F139" s="303"/>
      <c r="G139" s="325"/>
      <c r="H139" s="325"/>
      <c r="I139" s="303"/>
    </row>
    <row r="140" spans="1:9" x14ac:dyDescent="0.25">
      <c r="A140" s="303"/>
      <c r="B140" s="303"/>
      <c r="C140" s="303"/>
      <c r="D140" s="303"/>
      <c r="E140" s="303"/>
      <c r="F140" s="303"/>
      <c r="G140" s="325"/>
      <c r="H140" s="325"/>
      <c r="I140" s="303"/>
    </row>
    <row r="141" spans="1:9" x14ac:dyDescent="0.25">
      <c r="A141" s="303"/>
      <c r="B141" s="303"/>
      <c r="C141" s="303"/>
      <c r="D141" s="303"/>
      <c r="E141" s="303"/>
      <c r="F141" s="303"/>
      <c r="G141" s="325"/>
      <c r="H141" s="325"/>
      <c r="I141" s="303"/>
    </row>
    <row r="142" spans="1:9" x14ac:dyDescent="0.25">
      <c r="A142" s="303"/>
      <c r="B142" s="303"/>
      <c r="C142" s="303"/>
      <c r="D142" s="303"/>
      <c r="E142" s="303"/>
      <c r="F142" s="303"/>
      <c r="G142" s="325"/>
      <c r="H142" s="325"/>
      <c r="I142" s="303"/>
    </row>
    <row r="143" spans="1:9" x14ac:dyDescent="0.25">
      <c r="A143" s="303"/>
      <c r="B143" s="303"/>
      <c r="C143" s="303"/>
      <c r="D143" s="303"/>
      <c r="E143" s="303" t="s">
        <v>358</v>
      </c>
      <c r="F143" s="303"/>
      <c r="G143" s="325"/>
      <c r="H143" s="325"/>
      <c r="I143" s="303"/>
    </row>
    <row r="144" spans="1:9" x14ac:dyDescent="0.25">
      <c r="A144" s="303"/>
      <c r="B144" s="303"/>
      <c r="C144" s="303"/>
      <c r="D144" s="303"/>
      <c r="E144" s="303"/>
      <c r="F144" s="303"/>
      <c r="G144" s="325"/>
      <c r="H144" s="325"/>
      <c r="I144" s="303"/>
    </row>
    <row r="145" spans="1:9" x14ac:dyDescent="0.25">
      <c r="A145" s="303"/>
      <c r="B145" s="303"/>
      <c r="C145" s="303"/>
      <c r="D145" s="303"/>
      <c r="E145" s="303"/>
      <c r="F145" s="303"/>
      <c r="G145" s="325"/>
      <c r="H145" s="325"/>
      <c r="I145" s="303"/>
    </row>
    <row r="146" spans="1:9" x14ac:dyDescent="0.25">
      <c r="A146" s="303"/>
      <c r="B146" s="303"/>
      <c r="C146" s="303"/>
      <c r="D146" s="303"/>
      <c r="E146" s="303"/>
      <c r="F146" s="303"/>
      <c r="G146" s="325"/>
      <c r="H146" s="325"/>
      <c r="I146" s="303"/>
    </row>
    <row r="147" spans="1:9" x14ac:dyDescent="0.25">
      <c r="A147" s="303"/>
      <c r="B147" s="303"/>
      <c r="C147" s="303"/>
      <c r="D147" s="303"/>
      <c r="E147" s="303"/>
      <c r="F147" s="303"/>
      <c r="G147" s="325"/>
      <c r="H147" s="325"/>
      <c r="I147" s="303"/>
    </row>
    <row r="148" spans="1:9" x14ac:dyDescent="0.25">
      <c r="A148" s="303"/>
      <c r="B148" s="303"/>
      <c r="C148" s="303"/>
      <c r="D148" s="303"/>
      <c r="E148" s="303"/>
      <c r="F148" s="303"/>
      <c r="G148" s="325"/>
      <c r="H148" s="325"/>
      <c r="I148" s="303"/>
    </row>
    <row r="149" spans="1:9" x14ac:dyDescent="0.25">
      <c r="A149" s="303"/>
      <c r="B149" s="303"/>
      <c r="C149" s="303"/>
      <c r="D149" s="303"/>
      <c r="E149" s="303"/>
      <c r="F149" s="303"/>
      <c r="G149" s="325"/>
      <c r="H149" s="325"/>
      <c r="I149" s="303"/>
    </row>
    <row r="150" spans="1:9" x14ac:dyDescent="0.25">
      <c r="A150" s="303"/>
      <c r="B150" s="303"/>
      <c r="C150" s="303"/>
      <c r="D150" s="303"/>
      <c r="E150" s="303"/>
      <c r="F150" s="303"/>
      <c r="G150" s="325"/>
      <c r="H150" s="325"/>
      <c r="I150" s="303"/>
    </row>
    <row r="151" spans="1:9" x14ac:dyDescent="0.25">
      <c r="A151" s="303"/>
      <c r="B151" s="303"/>
      <c r="C151" s="303"/>
      <c r="D151" s="303"/>
      <c r="E151" s="303"/>
      <c r="F151" s="303"/>
      <c r="G151" s="325"/>
      <c r="H151" s="325"/>
      <c r="I151" s="303"/>
    </row>
    <row r="152" spans="1:9" x14ac:dyDescent="0.25">
      <c r="A152" s="303"/>
      <c r="B152" s="303"/>
      <c r="C152" s="303"/>
      <c r="D152" s="303"/>
      <c r="E152" s="303"/>
      <c r="F152" s="303"/>
      <c r="G152" s="325"/>
      <c r="H152" s="325"/>
      <c r="I152" s="303"/>
    </row>
    <row r="153" spans="1:9" x14ac:dyDescent="0.25">
      <c r="A153" s="303"/>
      <c r="B153" s="303"/>
      <c r="C153" s="303"/>
      <c r="D153" s="303"/>
      <c r="E153" s="303"/>
      <c r="F153" s="303"/>
      <c r="G153" s="325"/>
      <c r="H153" s="325"/>
      <c r="I153" s="303"/>
    </row>
    <row r="154" spans="1:9" x14ac:dyDescent="0.25">
      <c r="A154" s="303"/>
      <c r="B154" s="303"/>
      <c r="C154" s="303"/>
      <c r="D154" s="303"/>
      <c r="E154" s="303"/>
      <c r="F154" s="303"/>
      <c r="G154" s="325"/>
      <c r="H154" s="325"/>
      <c r="I154" s="303"/>
    </row>
    <row r="155" spans="1:9" x14ac:dyDescent="0.25">
      <c r="A155" s="303"/>
      <c r="B155" s="303"/>
      <c r="C155" s="303"/>
      <c r="D155" s="303"/>
      <c r="E155" s="303"/>
      <c r="F155" s="303"/>
      <c r="G155" s="325"/>
      <c r="H155" s="325"/>
      <c r="I155" s="303"/>
    </row>
    <row r="156" spans="1:9" x14ac:dyDescent="0.25">
      <c r="A156" s="303"/>
      <c r="B156" s="303"/>
      <c r="C156" s="303"/>
      <c r="D156" s="303"/>
      <c r="E156" s="303"/>
      <c r="F156" s="303"/>
      <c r="G156" s="325"/>
      <c r="H156" s="325"/>
      <c r="I156" s="303"/>
    </row>
    <row r="157" spans="1:9" x14ac:dyDescent="0.25">
      <c r="A157" s="303"/>
      <c r="B157" s="303"/>
      <c r="C157" s="303"/>
      <c r="D157" s="303"/>
      <c r="E157" s="303"/>
      <c r="F157" s="303"/>
      <c r="G157" s="325"/>
      <c r="H157" s="325"/>
      <c r="I157" s="303"/>
    </row>
    <row r="158" spans="1:9" x14ac:dyDescent="0.25">
      <c r="A158" s="303"/>
      <c r="B158" s="303"/>
      <c r="C158" s="303"/>
      <c r="D158" s="303"/>
      <c r="E158" s="303"/>
      <c r="F158" s="303"/>
      <c r="G158" s="325"/>
      <c r="H158" s="325"/>
      <c r="I158" s="303"/>
    </row>
    <row r="159" spans="1:9" x14ac:dyDescent="0.25">
      <c r="A159" s="303"/>
      <c r="B159" s="303"/>
      <c r="C159" s="303"/>
      <c r="D159" s="303"/>
      <c r="E159" s="303"/>
      <c r="F159" s="303"/>
      <c r="G159" s="325"/>
      <c r="H159" s="325"/>
      <c r="I159" s="303"/>
    </row>
    <row r="160" spans="1:9" x14ac:dyDescent="0.25">
      <c r="A160" s="303"/>
      <c r="B160" s="303"/>
      <c r="C160" s="303"/>
      <c r="D160" s="303"/>
      <c r="E160" s="303"/>
      <c r="F160" s="303"/>
      <c r="G160" s="325"/>
      <c r="H160" s="325"/>
      <c r="I160" s="303"/>
    </row>
    <row r="161" spans="1:9" x14ac:dyDescent="0.25">
      <c r="A161" s="303"/>
      <c r="B161" s="303"/>
      <c r="C161" s="303"/>
      <c r="D161" s="303"/>
      <c r="E161" s="303"/>
      <c r="F161" s="303"/>
      <c r="G161" s="325"/>
      <c r="H161" s="325"/>
      <c r="I161" s="303"/>
    </row>
    <row r="162" spans="1:9" x14ac:dyDescent="0.25">
      <c r="A162" s="303"/>
      <c r="B162" s="303"/>
      <c r="C162" s="303"/>
      <c r="D162" s="303"/>
      <c r="E162" s="303"/>
      <c r="F162" s="303"/>
      <c r="G162" s="325"/>
      <c r="H162" s="325"/>
      <c r="I162" s="303"/>
    </row>
    <row r="163" spans="1:9" x14ac:dyDescent="0.25">
      <c r="A163" s="303"/>
      <c r="B163" s="303"/>
      <c r="C163" s="303"/>
      <c r="D163" s="303"/>
      <c r="E163" s="303"/>
      <c r="F163" s="303"/>
      <c r="G163" s="325"/>
      <c r="H163" s="325"/>
      <c r="I163" s="303"/>
    </row>
    <row r="164" spans="1:9" x14ac:dyDescent="0.25">
      <c r="A164" s="303"/>
      <c r="B164" s="303"/>
      <c r="C164" s="303"/>
      <c r="D164" s="303"/>
      <c r="E164" s="303"/>
      <c r="F164" s="303"/>
      <c r="G164" s="325"/>
      <c r="H164" s="325"/>
      <c r="I164" s="303"/>
    </row>
    <row r="165" spans="1:9" x14ac:dyDescent="0.25">
      <c r="A165" s="303"/>
      <c r="B165" s="303"/>
      <c r="C165" s="303"/>
      <c r="D165" s="303"/>
      <c r="E165" s="303"/>
      <c r="F165" s="303"/>
      <c r="G165" s="325"/>
      <c r="H165" s="325"/>
      <c r="I165" s="303"/>
    </row>
    <row r="166" spans="1:9" x14ac:dyDescent="0.25">
      <c r="A166" s="303"/>
      <c r="B166" s="303"/>
      <c r="C166" s="303"/>
      <c r="D166" s="303"/>
      <c r="E166" s="303"/>
      <c r="F166" s="303"/>
      <c r="G166" s="325"/>
      <c r="H166" s="325"/>
      <c r="I166" s="303"/>
    </row>
    <row r="167" spans="1:9" x14ac:dyDescent="0.25">
      <c r="A167" s="303"/>
      <c r="B167" s="303"/>
      <c r="C167" s="303"/>
      <c r="D167" s="303"/>
      <c r="E167" s="303"/>
      <c r="F167" s="303"/>
      <c r="G167" s="325"/>
      <c r="H167" s="325"/>
      <c r="I167" s="303"/>
    </row>
    <row r="168" spans="1:9" x14ac:dyDescent="0.25">
      <c r="A168" s="303"/>
      <c r="B168" s="303"/>
      <c r="C168" s="303"/>
      <c r="D168" s="303"/>
      <c r="E168" s="303"/>
      <c r="F168" s="303"/>
      <c r="G168" s="325"/>
      <c r="H168" s="325"/>
      <c r="I168" s="303"/>
    </row>
    <row r="169" spans="1:9" x14ac:dyDescent="0.25">
      <c r="A169" s="303"/>
      <c r="B169" s="303"/>
      <c r="C169" s="303"/>
      <c r="D169" s="303"/>
      <c r="E169" s="303"/>
      <c r="F169" s="303"/>
      <c r="G169" s="325"/>
      <c r="H169" s="325"/>
      <c r="I169" s="303"/>
    </row>
    <row r="170" spans="1:9" x14ac:dyDescent="0.25">
      <c r="A170" s="303"/>
      <c r="B170" s="303"/>
      <c r="C170" s="303"/>
      <c r="D170" s="303"/>
      <c r="E170" s="303"/>
      <c r="F170" s="303"/>
      <c r="G170" s="325"/>
      <c r="H170" s="325"/>
      <c r="I170" s="303"/>
    </row>
    <row r="171" spans="1:9" x14ac:dyDescent="0.25">
      <c r="A171" s="303"/>
      <c r="B171" s="303"/>
      <c r="C171" s="303"/>
      <c r="D171" s="303"/>
      <c r="E171" s="303"/>
      <c r="F171" s="303"/>
      <c r="G171" s="325"/>
      <c r="H171" s="325"/>
      <c r="I171" s="303"/>
    </row>
    <row r="172" spans="1:9" x14ac:dyDescent="0.25">
      <c r="A172" s="303"/>
      <c r="B172" s="303"/>
      <c r="C172" s="303"/>
      <c r="D172" s="303"/>
      <c r="E172" s="303"/>
      <c r="F172" s="303"/>
      <c r="G172" s="325"/>
      <c r="H172" s="325"/>
      <c r="I172" s="303"/>
    </row>
    <row r="173" spans="1:9" x14ac:dyDescent="0.25">
      <c r="A173" s="303"/>
      <c r="B173" s="303"/>
      <c r="C173" s="303"/>
      <c r="D173" s="303"/>
      <c r="E173" s="303"/>
      <c r="F173" s="303"/>
      <c r="G173" s="325"/>
      <c r="H173" s="325"/>
      <c r="I173" s="303"/>
    </row>
    <row r="174" spans="1:9" x14ac:dyDescent="0.25">
      <c r="A174" s="303"/>
      <c r="B174" s="303"/>
      <c r="C174" s="303"/>
      <c r="D174" s="303"/>
      <c r="E174" s="303"/>
      <c r="F174" s="303"/>
      <c r="G174" s="325"/>
      <c r="H174" s="325"/>
      <c r="I174" s="303"/>
    </row>
    <row r="175" spans="1:9" x14ac:dyDescent="0.25">
      <c r="A175" s="303"/>
      <c r="B175" s="303"/>
      <c r="C175" s="303"/>
      <c r="D175" s="303"/>
      <c r="E175" s="303"/>
      <c r="F175" s="303"/>
      <c r="G175" s="325"/>
      <c r="H175" s="325"/>
      <c r="I175" s="303"/>
    </row>
    <row r="176" spans="1:9" x14ac:dyDescent="0.25">
      <c r="A176" s="303"/>
      <c r="B176" s="303"/>
      <c r="C176" s="303"/>
      <c r="D176" s="303"/>
      <c r="E176" s="303"/>
      <c r="F176" s="303"/>
      <c r="G176" s="325"/>
      <c r="H176" s="325"/>
      <c r="I176" s="303"/>
    </row>
    <row r="177" spans="1:9" x14ac:dyDescent="0.25">
      <c r="A177" s="303"/>
      <c r="B177" s="303"/>
      <c r="C177" s="303"/>
      <c r="D177" s="303"/>
      <c r="E177" s="303"/>
      <c r="F177" s="303"/>
      <c r="G177" s="325"/>
      <c r="H177" s="325"/>
      <c r="I177" s="303"/>
    </row>
    <row r="178" spans="1:9" x14ac:dyDescent="0.25">
      <c r="A178" s="303"/>
      <c r="B178" s="303"/>
      <c r="C178" s="303"/>
      <c r="D178" s="303"/>
      <c r="E178" s="303"/>
      <c r="F178" s="303"/>
      <c r="G178" s="325"/>
      <c r="H178" s="325"/>
      <c r="I178" s="303"/>
    </row>
    <row r="179" spans="1:9" x14ac:dyDescent="0.25">
      <c r="A179" s="303"/>
      <c r="B179" s="303"/>
      <c r="C179" s="303"/>
      <c r="D179" s="303"/>
      <c r="E179" s="303"/>
      <c r="F179" s="303"/>
      <c r="G179" s="325"/>
      <c r="H179" s="325"/>
      <c r="I179" s="303"/>
    </row>
    <row r="180" spans="1:9" x14ac:dyDescent="0.25">
      <c r="A180" s="303"/>
      <c r="B180" s="303"/>
      <c r="C180" s="303"/>
      <c r="D180" s="303"/>
      <c r="E180" s="303"/>
      <c r="F180" s="303"/>
      <c r="G180" s="325"/>
      <c r="H180" s="325"/>
      <c r="I180" s="303"/>
    </row>
    <row r="181" spans="1:9" x14ac:dyDescent="0.25">
      <c r="A181" s="303"/>
      <c r="B181" s="303"/>
      <c r="C181" s="303"/>
      <c r="D181" s="303"/>
      <c r="E181" s="303"/>
      <c r="F181" s="303"/>
      <c r="G181" s="325"/>
      <c r="H181" s="325"/>
      <c r="I181" s="303"/>
    </row>
    <row r="182" spans="1:9" x14ac:dyDescent="0.25">
      <c r="A182" s="303"/>
      <c r="B182" s="303"/>
      <c r="C182" s="303"/>
      <c r="D182" s="303"/>
      <c r="E182" s="303"/>
      <c r="F182" s="303"/>
      <c r="G182" s="325"/>
      <c r="H182" s="325"/>
      <c r="I182" s="303"/>
    </row>
    <row r="183" spans="1:9" x14ac:dyDescent="0.25">
      <c r="A183" s="303"/>
      <c r="B183" s="303"/>
      <c r="C183" s="303"/>
      <c r="D183" s="303"/>
      <c r="E183" s="303"/>
      <c r="F183" s="303"/>
      <c r="G183" s="325"/>
      <c r="H183" s="325"/>
      <c r="I183" s="303"/>
    </row>
    <row r="184" spans="1:9" x14ac:dyDescent="0.25">
      <c r="A184" s="303"/>
      <c r="B184" s="303"/>
      <c r="C184" s="303"/>
      <c r="D184" s="303"/>
      <c r="E184" s="303"/>
      <c r="F184" s="303"/>
      <c r="G184" s="325"/>
      <c r="H184" s="325"/>
      <c r="I184" s="303"/>
    </row>
    <row r="185" spans="1:9" x14ac:dyDescent="0.25">
      <c r="A185" s="303"/>
      <c r="B185" s="303"/>
      <c r="C185" s="303"/>
      <c r="D185" s="303"/>
      <c r="E185" s="303"/>
      <c r="F185" s="303"/>
      <c r="G185" s="325"/>
      <c r="H185" s="325"/>
      <c r="I185" s="303"/>
    </row>
    <row r="186" spans="1:9" x14ac:dyDescent="0.25">
      <c r="A186" s="303"/>
      <c r="B186" s="303"/>
      <c r="C186" s="303"/>
      <c r="D186" s="303"/>
      <c r="E186" s="303"/>
      <c r="F186" s="303"/>
      <c r="G186" s="325"/>
      <c r="H186" s="325"/>
      <c r="I186" s="303"/>
    </row>
    <row r="187" spans="1:9" x14ac:dyDescent="0.25">
      <c r="A187" s="303"/>
      <c r="B187" s="303"/>
      <c r="C187" s="303"/>
      <c r="D187" s="303"/>
      <c r="E187" s="303"/>
      <c r="F187" s="303"/>
      <c r="G187" s="325"/>
      <c r="H187" s="325"/>
      <c r="I187" s="303"/>
    </row>
    <row r="188" spans="1:9" x14ac:dyDescent="0.25">
      <c r="A188" s="303"/>
      <c r="B188" s="303"/>
      <c r="C188" s="303"/>
      <c r="D188" s="303"/>
      <c r="E188" s="303"/>
      <c r="F188" s="303"/>
      <c r="G188" s="325"/>
      <c r="H188" s="325"/>
      <c r="I188" s="303"/>
    </row>
    <row r="189" spans="1:9" x14ac:dyDescent="0.25">
      <c r="A189" s="303"/>
      <c r="B189" s="303"/>
      <c r="C189" s="303"/>
      <c r="D189" s="303"/>
      <c r="E189" s="303"/>
      <c r="F189" s="303"/>
      <c r="G189" s="325"/>
      <c r="H189" s="325"/>
      <c r="I189" s="303"/>
    </row>
    <row r="190" spans="1:9" x14ac:dyDescent="0.25">
      <c r="A190" s="303"/>
      <c r="B190" s="303"/>
      <c r="C190" s="303"/>
      <c r="D190" s="303"/>
      <c r="E190" s="303"/>
      <c r="F190" s="303"/>
      <c r="G190" s="325"/>
      <c r="H190" s="325"/>
      <c r="I190" s="303"/>
    </row>
    <row r="191" spans="1:9" x14ac:dyDescent="0.25">
      <c r="A191" s="303"/>
      <c r="B191" s="303"/>
      <c r="C191" s="303"/>
      <c r="D191" s="303"/>
      <c r="E191" s="303"/>
      <c r="F191" s="303"/>
      <c r="G191" s="325"/>
      <c r="H191" s="325"/>
      <c r="I191" s="303"/>
    </row>
    <row r="192" spans="1:9" x14ac:dyDescent="0.25">
      <c r="A192" s="303"/>
      <c r="B192" s="303"/>
      <c r="C192" s="303"/>
      <c r="D192" s="303"/>
      <c r="E192" s="303"/>
      <c r="F192" s="303"/>
      <c r="G192" s="325"/>
      <c r="H192" s="325"/>
      <c r="I192" s="303"/>
    </row>
    <row r="193" spans="1:9" x14ac:dyDescent="0.25">
      <c r="A193" s="303"/>
      <c r="B193" s="303"/>
      <c r="C193" s="303"/>
      <c r="D193" s="303"/>
      <c r="E193" s="303"/>
      <c r="F193" s="303"/>
      <c r="G193" s="325"/>
      <c r="H193" s="325"/>
      <c r="I193" s="303"/>
    </row>
    <row r="194" spans="1:9" x14ac:dyDescent="0.25">
      <c r="A194" s="303"/>
      <c r="B194" s="303"/>
      <c r="C194" s="303"/>
      <c r="D194" s="303"/>
      <c r="E194" s="303"/>
      <c r="F194" s="303"/>
      <c r="G194" s="325"/>
      <c r="H194" s="325"/>
      <c r="I194" s="303"/>
    </row>
    <row r="195" spans="1:9" x14ac:dyDescent="0.25">
      <c r="A195" s="303"/>
      <c r="B195" s="303"/>
      <c r="C195" s="303"/>
      <c r="D195" s="303"/>
      <c r="E195" s="303"/>
      <c r="F195" s="303"/>
      <c r="G195" s="325"/>
      <c r="H195" s="325"/>
      <c r="I195" s="303"/>
    </row>
    <row r="196" spans="1:9" x14ac:dyDescent="0.25">
      <c r="A196" s="303"/>
      <c r="B196" s="303"/>
      <c r="C196" s="303"/>
      <c r="D196" s="303"/>
      <c r="E196" s="303"/>
      <c r="F196" s="303"/>
      <c r="G196" s="325"/>
      <c r="H196" s="325"/>
      <c r="I196" s="303"/>
    </row>
    <row r="197" spans="1:9" x14ac:dyDescent="0.25">
      <c r="A197" s="303"/>
      <c r="B197" s="303"/>
      <c r="C197" s="303"/>
      <c r="D197" s="303"/>
      <c r="E197" s="303"/>
      <c r="F197" s="303"/>
      <c r="G197" s="325"/>
      <c r="H197" s="325"/>
      <c r="I197" s="303"/>
    </row>
    <row r="198" spans="1:9" x14ac:dyDescent="0.25">
      <c r="A198" s="303"/>
      <c r="B198" s="303"/>
      <c r="C198" s="303"/>
      <c r="D198" s="303"/>
      <c r="E198" s="303"/>
      <c r="F198" s="303"/>
      <c r="G198" s="325"/>
      <c r="H198" s="325"/>
      <c r="I198" s="303"/>
    </row>
    <row r="199" spans="1:9" x14ac:dyDescent="0.25">
      <c r="A199" s="303"/>
      <c r="B199" s="303"/>
      <c r="C199" s="303"/>
      <c r="D199" s="303"/>
      <c r="E199" s="303"/>
      <c r="F199" s="303"/>
      <c r="G199" s="325"/>
      <c r="H199" s="325"/>
      <c r="I199" s="303"/>
    </row>
    <row r="200" spans="1:9" x14ac:dyDescent="0.25">
      <c r="A200" s="303"/>
      <c r="B200" s="303"/>
      <c r="C200" s="303"/>
      <c r="D200" s="303"/>
      <c r="E200" s="303"/>
      <c r="F200" s="303"/>
      <c r="G200" s="325"/>
      <c r="H200" s="325"/>
      <c r="I200" s="303"/>
    </row>
    <row r="201" spans="1:9" x14ac:dyDescent="0.25">
      <c r="A201" s="303"/>
      <c r="B201" s="303"/>
      <c r="C201" s="303"/>
      <c r="D201" s="303"/>
      <c r="E201" s="303"/>
      <c r="F201" s="303"/>
      <c r="G201" s="325"/>
      <c r="H201" s="325"/>
      <c r="I201" s="303"/>
    </row>
    <row r="202" spans="1:9" x14ac:dyDescent="0.25">
      <c r="A202" s="303"/>
      <c r="B202" s="303"/>
      <c r="C202" s="303"/>
      <c r="D202" s="303"/>
      <c r="E202" s="303"/>
      <c r="F202" s="303"/>
      <c r="G202" s="325"/>
      <c r="H202" s="325"/>
      <c r="I202" s="303"/>
    </row>
    <row r="203" spans="1:9" x14ac:dyDescent="0.25">
      <c r="A203" s="303"/>
      <c r="B203" s="303"/>
      <c r="C203" s="303"/>
      <c r="D203" s="303"/>
      <c r="E203" s="303"/>
      <c r="F203" s="303"/>
      <c r="G203" s="325"/>
      <c r="H203" s="325"/>
      <c r="I203" s="303"/>
    </row>
    <row r="204" spans="1:9" x14ac:dyDescent="0.25">
      <c r="A204" s="303"/>
      <c r="B204" s="303"/>
      <c r="C204" s="303"/>
      <c r="D204" s="303"/>
      <c r="E204" s="303"/>
      <c r="F204" s="303"/>
      <c r="G204" s="325"/>
      <c r="H204" s="325"/>
      <c r="I204" s="303"/>
    </row>
    <row r="205" spans="1:9" x14ac:dyDescent="0.25">
      <c r="A205" s="303"/>
      <c r="B205" s="303"/>
      <c r="C205" s="303"/>
      <c r="D205" s="303"/>
      <c r="E205" s="303"/>
      <c r="F205" s="303"/>
      <c r="G205" s="325"/>
      <c r="H205" s="325"/>
      <c r="I205" s="303"/>
    </row>
    <row r="206" spans="1:9" x14ac:dyDescent="0.25">
      <c r="A206" s="303"/>
      <c r="B206" s="303"/>
      <c r="C206" s="303"/>
      <c r="D206" s="303"/>
      <c r="E206" s="303"/>
      <c r="F206" s="303"/>
      <c r="G206" s="325"/>
      <c r="H206" s="325"/>
      <c r="I206" s="303"/>
    </row>
    <row r="207" spans="1:9" x14ac:dyDescent="0.25">
      <c r="A207" s="303"/>
      <c r="B207" s="303"/>
      <c r="C207" s="303"/>
      <c r="D207" s="303"/>
      <c r="E207" s="303"/>
      <c r="F207" s="303"/>
      <c r="G207" s="325"/>
      <c r="H207" s="325"/>
      <c r="I207" s="303"/>
    </row>
    <row r="208" spans="1:9" x14ac:dyDescent="0.25">
      <c r="A208" s="303"/>
      <c r="B208" s="303"/>
      <c r="C208" s="303"/>
      <c r="D208" s="303"/>
      <c r="E208" s="303"/>
      <c r="F208" s="303"/>
      <c r="G208" s="325"/>
      <c r="H208" s="325"/>
      <c r="I208" s="303"/>
    </row>
    <row r="209" spans="1:9" x14ac:dyDescent="0.25">
      <c r="A209" s="303"/>
      <c r="B209" s="303"/>
      <c r="C209" s="303"/>
      <c r="D209" s="303"/>
      <c r="E209" s="303"/>
      <c r="F209" s="303"/>
      <c r="G209" s="325"/>
      <c r="H209" s="325"/>
      <c r="I209" s="303"/>
    </row>
    <row r="210" spans="1:9" x14ac:dyDescent="0.25">
      <c r="A210" s="303"/>
      <c r="B210" s="303"/>
      <c r="C210" s="303"/>
      <c r="D210" s="303"/>
      <c r="E210" s="303"/>
      <c r="F210" s="303"/>
      <c r="G210" s="325"/>
      <c r="H210" s="325"/>
      <c r="I210" s="303"/>
    </row>
    <row r="211" spans="1:9" x14ac:dyDescent="0.25">
      <c r="A211" s="303"/>
      <c r="B211" s="303"/>
      <c r="C211" s="303"/>
      <c r="D211" s="303"/>
      <c r="E211" s="303"/>
      <c r="F211" s="303"/>
      <c r="G211" s="325"/>
      <c r="H211" s="325"/>
      <c r="I211" s="303"/>
    </row>
    <row r="212" spans="1:9" x14ac:dyDescent="0.25">
      <c r="A212" s="303"/>
      <c r="B212" s="303"/>
      <c r="C212" s="303"/>
      <c r="D212" s="303"/>
      <c r="E212" s="303"/>
      <c r="F212" s="303"/>
      <c r="G212" s="325"/>
      <c r="H212" s="325"/>
      <c r="I212" s="303"/>
    </row>
    <row r="213" spans="1:9" x14ac:dyDescent="0.25">
      <c r="A213" s="303"/>
      <c r="B213" s="303"/>
      <c r="C213" s="303"/>
      <c r="D213" s="303"/>
      <c r="E213" s="303"/>
      <c r="F213" s="303"/>
      <c r="G213" s="325"/>
      <c r="H213" s="325"/>
      <c r="I213" s="303"/>
    </row>
    <row r="214" spans="1:9" x14ac:dyDescent="0.25">
      <c r="A214" s="303"/>
      <c r="B214" s="303"/>
      <c r="C214" s="303"/>
      <c r="D214" s="303"/>
      <c r="E214" s="303"/>
      <c r="F214" s="303"/>
      <c r="G214" s="325"/>
      <c r="H214" s="325"/>
      <c r="I214" s="303"/>
    </row>
    <row r="215" spans="1:9" x14ac:dyDescent="0.25">
      <c r="A215" s="303"/>
      <c r="B215" s="303"/>
      <c r="C215" s="303"/>
      <c r="D215" s="303"/>
      <c r="E215" s="303"/>
      <c r="F215" s="303"/>
      <c r="G215" s="325"/>
      <c r="H215" s="325"/>
      <c r="I215" s="303"/>
    </row>
    <row r="216" spans="1:9" x14ac:dyDescent="0.25">
      <c r="A216" s="303"/>
      <c r="B216" s="303"/>
      <c r="C216" s="303"/>
      <c r="D216" s="303"/>
      <c r="E216" s="303"/>
      <c r="F216" s="303"/>
      <c r="G216" s="325"/>
      <c r="H216" s="325"/>
      <c r="I216" s="303"/>
    </row>
    <row r="217" spans="1:9" x14ac:dyDescent="0.25">
      <c r="A217" s="303"/>
      <c r="B217" s="303"/>
      <c r="C217" s="303"/>
      <c r="D217" s="303"/>
      <c r="E217" s="303"/>
      <c r="F217" s="303"/>
      <c r="G217" s="325"/>
      <c r="H217" s="325"/>
      <c r="I217" s="303"/>
    </row>
    <row r="218" spans="1:9" x14ac:dyDescent="0.25">
      <c r="A218" s="303"/>
      <c r="B218" s="303"/>
      <c r="C218" s="303"/>
      <c r="D218" s="303"/>
      <c r="E218" s="303"/>
      <c r="F218" s="303"/>
      <c r="G218" s="325"/>
      <c r="H218" s="325"/>
      <c r="I218" s="303"/>
    </row>
    <row r="219" spans="1:9" x14ac:dyDescent="0.25">
      <c r="A219" s="303"/>
      <c r="B219" s="303"/>
      <c r="C219" s="303"/>
      <c r="D219" s="303"/>
      <c r="E219" s="303"/>
      <c r="F219" s="303"/>
      <c r="G219" s="325"/>
      <c r="H219" s="325"/>
      <c r="I219" s="303"/>
    </row>
    <row r="220" spans="1:9" x14ac:dyDescent="0.25">
      <c r="A220" s="303"/>
      <c r="B220" s="303"/>
      <c r="C220" s="303"/>
      <c r="D220" s="303"/>
      <c r="E220" s="303"/>
      <c r="F220" s="303"/>
      <c r="G220" s="325"/>
      <c r="H220" s="325"/>
      <c r="I220" s="303"/>
    </row>
    <row r="221" spans="1:9" x14ac:dyDescent="0.25">
      <c r="A221" s="303"/>
      <c r="B221" s="303"/>
      <c r="C221" s="303"/>
      <c r="D221" s="303"/>
      <c r="E221" s="303"/>
      <c r="F221" s="303"/>
      <c r="G221" s="325"/>
      <c r="H221" s="325"/>
      <c r="I221" s="303"/>
    </row>
    <row r="222" spans="1:9" x14ac:dyDescent="0.25">
      <c r="A222" s="303"/>
      <c r="B222" s="303"/>
      <c r="C222" s="303"/>
      <c r="D222" s="303"/>
      <c r="E222" s="303"/>
      <c r="F222" s="303"/>
      <c r="G222" s="325"/>
      <c r="H222" s="325"/>
      <c r="I222" s="303"/>
    </row>
    <row r="223" spans="1:9" x14ac:dyDescent="0.25">
      <c r="A223" s="303"/>
      <c r="B223" s="303"/>
      <c r="C223" s="303"/>
      <c r="D223" s="303"/>
      <c r="E223" s="303"/>
      <c r="F223" s="303"/>
      <c r="G223" s="325"/>
      <c r="H223" s="325"/>
      <c r="I223" s="303"/>
    </row>
    <row r="224" spans="1:9" x14ac:dyDescent="0.25">
      <c r="A224" s="303"/>
      <c r="B224" s="303"/>
      <c r="C224" s="303"/>
      <c r="D224" s="303"/>
      <c r="E224" s="303"/>
      <c r="F224" s="303"/>
      <c r="G224" s="325"/>
      <c r="H224" s="325"/>
      <c r="I224" s="303"/>
    </row>
    <row r="225" spans="1:9" x14ac:dyDescent="0.25">
      <c r="A225" s="303"/>
      <c r="B225" s="303"/>
      <c r="C225" s="303"/>
      <c r="D225" s="303"/>
      <c r="E225" s="303"/>
      <c r="F225" s="303"/>
      <c r="G225" s="325"/>
      <c r="H225" s="325"/>
      <c r="I225" s="303"/>
    </row>
    <row r="226" spans="1:9" x14ac:dyDescent="0.25">
      <c r="A226" s="303"/>
      <c r="B226" s="303"/>
      <c r="C226" s="303"/>
      <c r="D226" s="303"/>
      <c r="E226" s="303"/>
      <c r="F226" s="303"/>
      <c r="G226" s="325"/>
      <c r="H226" s="325"/>
      <c r="I226" s="303"/>
    </row>
    <row r="227" spans="1:9" x14ac:dyDescent="0.25">
      <c r="A227" s="303"/>
      <c r="B227" s="303"/>
      <c r="C227" s="303"/>
      <c r="D227" s="303"/>
      <c r="E227" s="303"/>
      <c r="F227" s="303"/>
      <c r="G227" s="325"/>
      <c r="H227" s="325"/>
      <c r="I227" s="303"/>
    </row>
    <row r="228" spans="1:9" x14ac:dyDescent="0.25">
      <c r="A228" s="303"/>
      <c r="B228" s="303"/>
      <c r="C228" s="303"/>
      <c r="D228" s="303"/>
      <c r="E228" s="303"/>
      <c r="F228" s="303"/>
      <c r="G228" s="325"/>
      <c r="H228" s="325"/>
      <c r="I228" s="303"/>
    </row>
    <row r="229" spans="1:9" x14ac:dyDescent="0.25">
      <c r="A229" s="303"/>
      <c r="B229" s="303"/>
      <c r="C229" s="303"/>
      <c r="D229" s="303"/>
      <c r="E229" s="303"/>
      <c r="F229" s="303"/>
      <c r="G229" s="325"/>
      <c r="H229" s="325"/>
      <c r="I229" s="303"/>
    </row>
    <row r="230" spans="1:9" x14ac:dyDescent="0.25">
      <c r="A230" s="303"/>
      <c r="B230" s="303"/>
      <c r="C230" s="303"/>
      <c r="D230" s="303"/>
      <c r="E230" s="303"/>
      <c r="F230" s="303"/>
      <c r="G230" s="325"/>
      <c r="H230" s="325"/>
      <c r="I230" s="303"/>
    </row>
    <row r="231" spans="1:9" x14ac:dyDescent="0.25">
      <c r="A231" s="303"/>
      <c r="B231" s="303"/>
      <c r="C231" s="303"/>
      <c r="D231" s="303"/>
      <c r="E231" s="303"/>
      <c r="F231" s="303"/>
      <c r="G231" s="325"/>
      <c r="H231" s="325"/>
      <c r="I231" s="303"/>
    </row>
    <row r="232" spans="1:9" x14ac:dyDescent="0.25">
      <c r="A232" s="303"/>
      <c r="B232" s="303"/>
      <c r="C232" s="303"/>
      <c r="D232" s="303"/>
      <c r="E232" s="303"/>
      <c r="F232" s="303"/>
      <c r="G232" s="325"/>
      <c r="H232" s="325"/>
      <c r="I232" s="303"/>
    </row>
    <row r="233" spans="1:9" x14ac:dyDescent="0.25">
      <c r="A233" s="303"/>
      <c r="B233" s="303"/>
      <c r="C233" s="303"/>
      <c r="D233" s="303"/>
      <c r="E233" s="303"/>
      <c r="F233" s="303"/>
      <c r="G233" s="325"/>
      <c r="H233" s="325"/>
      <c r="I233" s="303"/>
    </row>
    <row r="234" spans="1:9" x14ac:dyDescent="0.25">
      <c r="A234" s="303"/>
      <c r="B234" s="303"/>
      <c r="C234" s="303"/>
      <c r="D234" s="303"/>
      <c r="E234" s="303"/>
      <c r="F234" s="303"/>
      <c r="G234" s="325"/>
      <c r="H234" s="325"/>
      <c r="I234" s="303"/>
    </row>
    <row r="235" spans="1:9" x14ac:dyDescent="0.25">
      <c r="A235" s="303"/>
      <c r="B235" s="303"/>
      <c r="C235" s="303"/>
      <c r="D235" s="303"/>
      <c r="E235" s="303"/>
      <c r="F235" s="303"/>
      <c r="G235" s="325"/>
      <c r="H235" s="325"/>
      <c r="I235" s="303"/>
    </row>
    <row r="236" spans="1:9" x14ac:dyDescent="0.25">
      <c r="A236" s="303"/>
      <c r="B236" s="303"/>
      <c r="C236" s="303"/>
      <c r="D236" s="303"/>
      <c r="E236" s="303"/>
      <c r="F236" s="303"/>
      <c r="G236" s="325"/>
      <c r="H236" s="325"/>
      <c r="I236" s="303"/>
    </row>
    <row r="237" spans="1:9" x14ac:dyDescent="0.25">
      <c r="A237" s="303"/>
      <c r="B237" s="303"/>
      <c r="C237" s="303"/>
      <c r="D237" s="303"/>
      <c r="E237" s="303"/>
      <c r="F237" s="303"/>
      <c r="G237" s="325"/>
      <c r="H237" s="325"/>
      <c r="I237" s="303"/>
    </row>
    <row r="238" spans="1:9" x14ac:dyDescent="0.25">
      <c r="A238" s="303"/>
      <c r="B238" s="303"/>
      <c r="C238" s="303"/>
      <c r="D238" s="303"/>
      <c r="E238" s="303"/>
      <c r="F238" s="303"/>
      <c r="G238" s="325"/>
      <c r="H238" s="325"/>
      <c r="I238" s="303"/>
    </row>
    <row r="239" spans="1:9" x14ac:dyDescent="0.25">
      <c r="A239" s="303"/>
      <c r="B239" s="303"/>
      <c r="C239" s="303"/>
      <c r="D239" s="303"/>
      <c r="E239" s="303"/>
      <c r="F239" s="303"/>
      <c r="G239" s="325"/>
      <c r="H239" s="325"/>
      <c r="I239" s="303"/>
    </row>
    <row r="240" spans="1:9" x14ac:dyDescent="0.25">
      <c r="A240" s="303"/>
      <c r="B240" s="303"/>
      <c r="C240" s="303"/>
      <c r="D240" s="303"/>
      <c r="E240" s="303"/>
      <c r="F240" s="303"/>
      <c r="G240" s="325"/>
      <c r="H240" s="325"/>
      <c r="I240" s="303"/>
    </row>
    <row r="241" spans="1:9" x14ac:dyDescent="0.25">
      <c r="A241" s="303"/>
      <c r="B241" s="303"/>
      <c r="C241" s="303"/>
      <c r="D241" s="303"/>
      <c r="E241" s="303"/>
      <c r="F241" s="303"/>
      <c r="G241" s="325"/>
      <c r="H241" s="325"/>
      <c r="I241" s="303"/>
    </row>
    <row r="242" spans="1:9" x14ac:dyDescent="0.25">
      <c r="A242" s="303"/>
      <c r="B242" s="303"/>
      <c r="C242" s="303"/>
      <c r="D242" s="303"/>
      <c r="E242" s="303"/>
      <c r="F242" s="303"/>
      <c r="G242" s="325"/>
      <c r="H242" s="325"/>
      <c r="I242" s="303"/>
    </row>
    <row r="243" spans="1:9" x14ac:dyDescent="0.25">
      <c r="A243" s="303"/>
      <c r="B243" s="303"/>
      <c r="C243" s="303"/>
      <c r="D243" s="303"/>
      <c r="E243" s="303"/>
      <c r="F243" s="303"/>
      <c r="G243" s="325"/>
      <c r="H243" s="325"/>
      <c r="I243" s="303"/>
    </row>
    <row r="244" spans="1:9" x14ac:dyDescent="0.25">
      <c r="A244" s="303"/>
      <c r="B244" s="303"/>
      <c r="C244" s="303"/>
      <c r="D244" s="303"/>
      <c r="E244" s="303"/>
      <c r="F244" s="303"/>
      <c r="G244" s="325"/>
      <c r="H244" s="325"/>
      <c r="I244" s="303"/>
    </row>
    <row r="245" spans="1:9" x14ac:dyDescent="0.25">
      <c r="A245" s="303"/>
      <c r="B245" s="303"/>
      <c r="C245" s="303"/>
      <c r="D245" s="303"/>
      <c r="E245" s="303"/>
      <c r="F245" s="303"/>
      <c r="G245" s="325"/>
      <c r="H245" s="325"/>
      <c r="I245" s="303"/>
    </row>
    <row r="246" spans="1:9" x14ac:dyDescent="0.25">
      <c r="A246" s="303"/>
      <c r="B246" s="303"/>
      <c r="C246" s="303"/>
      <c r="D246" s="303"/>
      <c r="E246" s="303"/>
      <c r="F246" s="303"/>
      <c r="G246" s="325"/>
      <c r="H246" s="325"/>
      <c r="I246" s="303"/>
    </row>
    <row r="247" spans="1:9" x14ac:dyDescent="0.25">
      <c r="A247" s="303"/>
      <c r="B247" s="303"/>
      <c r="C247" s="303"/>
      <c r="D247" s="303"/>
      <c r="E247" s="303"/>
      <c r="F247" s="303"/>
      <c r="G247" s="325"/>
      <c r="H247" s="325"/>
      <c r="I247" s="303"/>
    </row>
    <row r="248" spans="1:9" x14ac:dyDescent="0.25">
      <c r="A248" s="303"/>
      <c r="B248" s="303"/>
      <c r="C248" s="303"/>
      <c r="D248" s="303"/>
      <c r="E248" s="303"/>
      <c r="F248" s="303"/>
      <c r="G248" s="325"/>
      <c r="H248" s="325"/>
      <c r="I248" s="303"/>
    </row>
    <row r="249" spans="1:9" x14ac:dyDescent="0.25">
      <c r="A249" s="303"/>
      <c r="B249" s="303"/>
      <c r="C249" s="303"/>
      <c r="D249" s="303"/>
      <c r="E249" s="303"/>
      <c r="F249" s="303"/>
      <c r="G249" s="325"/>
      <c r="H249" s="325"/>
      <c r="I249" s="303"/>
    </row>
    <row r="250" spans="1:9" x14ac:dyDescent="0.25">
      <c r="A250" s="303"/>
      <c r="B250" s="303"/>
      <c r="C250" s="303"/>
      <c r="D250" s="303"/>
      <c r="E250" s="303"/>
      <c r="F250" s="303"/>
      <c r="G250" s="325"/>
      <c r="H250" s="325"/>
      <c r="I250" s="303"/>
    </row>
    <row r="251" spans="1:9" x14ac:dyDescent="0.25">
      <c r="A251" s="303"/>
      <c r="B251" s="303"/>
      <c r="C251" s="303"/>
      <c r="D251" s="303"/>
      <c r="E251" s="303"/>
      <c r="F251" s="303"/>
      <c r="G251" s="325"/>
      <c r="H251" s="325"/>
      <c r="I251" s="303"/>
    </row>
    <row r="252" spans="1:9" x14ac:dyDescent="0.25">
      <c r="A252" s="303"/>
      <c r="B252" s="303"/>
      <c r="C252" s="303"/>
      <c r="D252" s="303"/>
      <c r="E252" s="303"/>
      <c r="F252" s="303"/>
      <c r="G252" s="325"/>
      <c r="H252" s="303"/>
      <c r="I252" s="303"/>
    </row>
    <row r="253" spans="1:9" x14ac:dyDescent="0.25">
      <c r="A253" s="303"/>
      <c r="B253" s="303"/>
      <c r="C253" s="303"/>
      <c r="D253" s="303"/>
      <c r="E253" s="303"/>
      <c r="F253" s="303"/>
      <c r="G253" s="325"/>
      <c r="H253" s="303"/>
      <c r="I253" s="303"/>
    </row>
    <row r="254" spans="1:9" x14ac:dyDescent="0.25">
      <c r="A254" s="303"/>
      <c r="B254" s="303"/>
      <c r="C254" s="303"/>
      <c r="D254" s="303"/>
      <c r="E254" s="303"/>
      <c r="F254" s="303"/>
      <c r="G254" s="325"/>
      <c r="H254" s="303"/>
      <c r="I254" s="303"/>
    </row>
    <row r="255" spans="1:9" x14ac:dyDescent="0.25">
      <c r="A255" s="303"/>
      <c r="B255" s="303"/>
      <c r="C255" s="303"/>
      <c r="D255" s="303"/>
      <c r="E255" s="303"/>
      <c r="F255" s="303"/>
      <c r="G255" s="325"/>
      <c r="H255" s="303"/>
      <c r="I255" s="303"/>
    </row>
    <row r="256" spans="1:9" x14ac:dyDescent="0.25">
      <c r="A256" s="303"/>
      <c r="B256" s="303"/>
      <c r="C256" s="303"/>
      <c r="D256" s="303"/>
      <c r="E256" s="303"/>
      <c r="F256" s="303"/>
      <c r="G256" s="325"/>
      <c r="H256" s="303"/>
      <c r="I256" s="303"/>
    </row>
    <row r="257" spans="1:9" x14ac:dyDescent="0.25">
      <c r="A257" s="303"/>
      <c r="B257" s="303"/>
      <c r="C257" s="303"/>
      <c r="D257" s="303"/>
      <c r="E257" s="303"/>
      <c r="F257" s="303"/>
      <c r="G257" s="325"/>
      <c r="H257" s="303"/>
      <c r="I257" s="303"/>
    </row>
    <row r="258" spans="1:9" x14ac:dyDescent="0.25">
      <c r="A258" s="303"/>
      <c r="B258" s="303"/>
      <c r="C258" s="303"/>
      <c r="D258" s="303"/>
      <c r="E258" s="303"/>
      <c r="F258" s="303"/>
      <c r="G258" s="325"/>
      <c r="H258" s="303"/>
      <c r="I258" s="303"/>
    </row>
    <row r="259" spans="1:9" x14ac:dyDescent="0.25">
      <c r="A259" s="303"/>
      <c r="B259" s="303"/>
      <c r="C259" s="303"/>
      <c r="D259" s="303"/>
      <c r="E259" s="303"/>
      <c r="F259" s="303"/>
      <c r="G259" s="325"/>
      <c r="H259" s="303"/>
      <c r="I259" s="303"/>
    </row>
    <row r="260" spans="1:9" x14ac:dyDescent="0.25">
      <c r="A260" s="303"/>
      <c r="B260" s="303"/>
      <c r="C260" s="303"/>
      <c r="D260" s="303"/>
      <c r="E260" s="303"/>
      <c r="F260" s="303"/>
      <c r="G260" s="325"/>
      <c r="H260" s="303"/>
      <c r="I260" s="303"/>
    </row>
    <row r="261" spans="1:9" x14ac:dyDescent="0.25">
      <c r="A261" s="303"/>
      <c r="B261" s="303"/>
      <c r="C261" s="303"/>
      <c r="D261" s="303"/>
      <c r="E261" s="303"/>
      <c r="F261" s="303"/>
      <c r="G261" s="325"/>
      <c r="H261" s="303"/>
      <c r="I261" s="303"/>
    </row>
    <row r="262" spans="1:9" x14ac:dyDescent="0.25">
      <c r="A262" s="303"/>
      <c r="B262" s="303"/>
      <c r="C262" s="303"/>
      <c r="D262" s="303"/>
      <c r="E262" s="303"/>
      <c r="F262" s="303"/>
      <c r="G262" s="325"/>
      <c r="H262" s="303"/>
      <c r="I262" s="303"/>
    </row>
    <row r="263" spans="1:9" x14ac:dyDescent="0.25">
      <c r="A263" s="303"/>
      <c r="B263" s="303"/>
      <c r="C263" s="303"/>
      <c r="D263" s="303"/>
      <c r="E263" s="303"/>
      <c r="F263" s="303"/>
      <c r="G263" s="325"/>
      <c r="H263" s="303"/>
      <c r="I263" s="303"/>
    </row>
    <row r="264" spans="1:9" x14ac:dyDescent="0.25">
      <c r="A264" s="303"/>
      <c r="B264" s="303"/>
      <c r="C264" s="303"/>
      <c r="D264" s="303"/>
      <c r="E264" s="303"/>
      <c r="F264" s="303"/>
      <c r="G264" s="325"/>
      <c r="H264" s="303"/>
      <c r="I264" s="303"/>
    </row>
    <row r="265" spans="1:9" x14ac:dyDescent="0.25">
      <c r="A265" s="303"/>
      <c r="B265" s="303"/>
      <c r="C265" s="303"/>
      <c r="D265" s="303"/>
      <c r="E265" s="303"/>
      <c r="F265" s="303"/>
      <c r="G265" s="325"/>
      <c r="H265" s="303"/>
      <c r="I265" s="303"/>
    </row>
    <row r="266" spans="1:9" x14ac:dyDescent="0.25">
      <c r="A266" s="303"/>
      <c r="B266" s="303"/>
      <c r="C266" s="303"/>
      <c r="D266" s="303"/>
      <c r="E266" s="303"/>
      <c r="F266" s="303"/>
      <c r="G266" s="325"/>
      <c r="H266" s="303"/>
      <c r="I266" s="303"/>
    </row>
    <row r="267" spans="1:9" x14ac:dyDescent="0.25">
      <c r="A267" s="303"/>
      <c r="B267" s="303"/>
      <c r="C267" s="303"/>
      <c r="D267" s="303"/>
      <c r="E267" s="303"/>
      <c r="F267" s="303"/>
      <c r="G267" s="325"/>
      <c r="H267" s="303"/>
      <c r="I267" s="303"/>
    </row>
    <row r="268" spans="1:9" x14ac:dyDescent="0.25">
      <c r="A268" s="303"/>
      <c r="B268" s="303"/>
      <c r="C268" s="303"/>
      <c r="D268" s="303"/>
      <c r="E268" s="303"/>
      <c r="F268" s="303"/>
      <c r="G268" s="325"/>
      <c r="H268" s="303"/>
      <c r="I268" s="303"/>
    </row>
    <row r="269" spans="1:9" x14ac:dyDescent="0.25">
      <c r="A269" s="303"/>
      <c r="B269" s="303"/>
      <c r="C269" s="303"/>
      <c r="D269" s="303"/>
      <c r="E269" s="303"/>
      <c r="F269" s="303"/>
      <c r="G269" s="325"/>
      <c r="H269" s="303"/>
      <c r="I269" s="303"/>
    </row>
    <row r="270" spans="1:9" x14ac:dyDescent="0.25">
      <c r="A270" s="303"/>
      <c r="B270" s="303"/>
      <c r="C270" s="303"/>
      <c r="D270" s="303"/>
      <c r="E270" s="303"/>
      <c r="F270" s="303"/>
      <c r="G270" s="325"/>
      <c r="H270" s="303"/>
      <c r="I270" s="303"/>
    </row>
    <row r="271" spans="1:9" x14ac:dyDescent="0.25">
      <c r="A271" s="303"/>
      <c r="B271" s="303"/>
      <c r="C271" s="303"/>
      <c r="D271" s="303"/>
      <c r="E271" s="303"/>
      <c r="F271" s="303"/>
      <c r="G271" s="325"/>
      <c r="H271" s="303"/>
      <c r="I271" s="303"/>
    </row>
    <row r="272" spans="1:9" x14ac:dyDescent="0.25">
      <c r="A272" s="303"/>
      <c r="B272" s="303"/>
      <c r="C272" s="303"/>
      <c r="D272" s="303"/>
      <c r="E272" s="303"/>
      <c r="F272" s="303"/>
      <c r="G272" s="325"/>
      <c r="H272" s="303"/>
      <c r="I272" s="303"/>
    </row>
    <row r="273" spans="1:9" x14ac:dyDescent="0.25">
      <c r="A273" s="303"/>
      <c r="B273" s="303"/>
      <c r="C273" s="303"/>
      <c r="D273" s="303"/>
      <c r="E273" s="303"/>
      <c r="F273" s="303"/>
      <c r="G273" s="325"/>
      <c r="H273" s="303"/>
      <c r="I273" s="303"/>
    </row>
    <row r="274" spans="1:9" x14ac:dyDescent="0.25">
      <c r="A274" s="303"/>
      <c r="B274" s="303"/>
      <c r="C274" s="303"/>
      <c r="D274" s="303"/>
      <c r="E274" s="303"/>
      <c r="F274" s="303"/>
      <c r="G274" s="325"/>
      <c r="H274" s="303"/>
      <c r="I274" s="303"/>
    </row>
    <row r="275" spans="1:9" x14ac:dyDescent="0.25">
      <c r="A275" s="303"/>
      <c r="B275" s="303"/>
      <c r="C275" s="303"/>
      <c r="D275" s="303"/>
      <c r="E275" s="303"/>
      <c r="F275" s="303"/>
      <c r="G275" s="325"/>
      <c r="H275" s="303"/>
      <c r="I275" s="303"/>
    </row>
    <row r="276" spans="1:9" x14ac:dyDescent="0.25">
      <c r="A276" s="303"/>
      <c r="B276" s="303"/>
      <c r="C276" s="303"/>
      <c r="D276" s="303"/>
      <c r="E276" s="303"/>
      <c r="F276" s="303"/>
      <c r="G276" s="325"/>
      <c r="H276" s="303"/>
      <c r="I276" s="303"/>
    </row>
    <row r="277" spans="1:9" x14ac:dyDescent="0.25">
      <c r="A277" s="303"/>
      <c r="B277" s="303"/>
      <c r="C277" s="303"/>
      <c r="D277" s="303"/>
      <c r="E277" s="303"/>
      <c r="F277" s="303"/>
      <c r="G277" s="325"/>
      <c r="H277" s="303"/>
      <c r="I277" s="303"/>
    </row>
    <row r="278" spans="1:9" x14ac:dyDescent="0.25">
      <c r="A278" s="303"/>
      <c r="B278" s="303"/>
      <c r="C278" s="303"/>
      <c r="D278" s="303"/>
      <c r="E278" s="303"/>
      <c r="F278" s="303"/>
      <c r="G278" s="325"/>
      <c r="H278" s="303"/>
      <c r="I278" s="303"/>
    </row>
    <row r="279" spans="1:9" x14ac:dyDescent="0.25">
      <c r="A279" s="303"/>
      <c r="B279" s="303"/>
      <c r="C279" s="303"/>
      <c r="D279" s="303"/>
      <c r="E279" s="303"/>
      <c r="F279" s="303"/>
      <c r="G279" s="325"/>
      <c r="H279" s="303"/>
      <c r="I279" s="303"/>
    </row>
    <row r="280" spans="1:9" x14ac:dyDescent="0.25">
      <c r="A280" s="303"/>
      <c r="B280" s="303"/>
      <c r="C280" s="303"/>
      <c r="D280" s="303"/>
      <c r="E280" s="303"/>
      <c r="F280" s="303"/>
      <c r="G280" s="325"/>
      <c r="H280" s="303"/>
      <c r="I280" s="303"/>
    </row>
    <row r="281" spans="1:9" x14ac:dyDescent="0.25">
      <c r="A281" s="303"/>
      <c r="B281" s="303"/>
      <c r="C281" s="303"/>
      <c r="D281" s="303"/>
      <c r="E281" s="303"/>
      <c r="F281" s="303"/>
      <c r="G281" s="325"/>
      <c r="H281" s="303"/>
      <c r="I281" s="303"/>
    </row>
    <row r="282" spans="1:9" x14ac:dyDescent="0.25">
      <c r="A282" s="303"/>
      <c r="B282" s="303"/>
      <c r="C282" s="303"/>
      <c r="D282" s="303"/>
      <c r="E282" s="303"/>
      <c r="F282" s="303"/>
      <c r="G282" s="325"/>
      <c r="H282" s="303"/>
      <c r="I282" s="303"/>
    </row>
    <row r="283" spans="1:9" x14ac:dyDescent="0.25">
      <c r="A283" s="303"/>
      <c r="B283" s="303"/>
      <c r="C283" s="303"/>
      <c r="D283" s="303"/>
      <c r="E283" s="303"/>
      <c r="F283" s="303"/>
      <c r="G283" s="325"/>
      <c r="H283" s="303"/>
      <c r="I283" s="303"/>
    </row>
    <row r="284" spans="1:9" x14ac:dyDescent="0.25">
      <c r="A284" s="303"/>
      <c r="B284" s="303"/>
      <c r="C284" s="303"/>
      <c r="D284" s="303"/>
      <c r="E284" s="303"/>
      <c r="F284" s="303"/>
      <c r="G284" s="325"/>
      <c r="H284" s="303"/>
      <c r="I284" s="303"/>
    </row>
    <row r="285" spans="1:9" x14ac:dyDescent="0.25">
      <c r="A285" s="303"/>
      <c r="B285" s="303"/>
      <c r="C285" s="303"/>
      <c r="D285" s="303"/>
      <c r="E285" s="303"/>
      <c r="F285" s="303"/>
      <c r="G285" s="325"/>
      <c r="H285" s="303"/>
      <c r="I285" s="303"/>
    </row>
    <row r="286" spans="1:9" x14ac:dyDescent="0.25">
      <c r="A286" s="303"/>
      <c r="B286" s="303"/>
      <c r="C286" s="303"/>
      <c r="D286" s="303"/>
      <c r="E286" s="303"/>
      <c r="F286" s="303"/>
      <c r="G286" s="325"/>
      <c r="H286" s="303"/>
      <c r="I286" s="303"/>
    </row>
    <row r="287" spans="1:9" x14ac:dyDescent="0.25">
      <c r="A287" s="303"/>
      <c r="B287" s="303"/>
      <c r="C287" s="303"/>
      <c r="D287" s="303"/>
      <c r="E287" s="303"/>
      <c r="F287" s="303"/>
      <c r="G287" s="325"/>
      <c r="H287" s="303"/>
      <c r="I287" s="303"/>
    </row>
    <row r="288" spans="1:9" x14ac:dyDescent="0.25">
      <c r="A288" s="303"/>
      <c r="B288" s="303"/>
      <c r="C288" s="303"/>
      <c r="D288" s="303"/>
      <c r="E288" s="303"/>
      <c r="F288" s="303"/>
      <c r="G288" s="325"/>
      <c r="H288" s="303"/>
      <c r="I288" s="303"/>
    </row>
    <row r="289" spans="1:9" x14ac:dyDescent="0.25">
      <c r="A289" s="303"/>
      <c r="B289" s="303"/>
      <c r="C289" s="303"/>
      <c r="D289" s="303"/>
      <c r="E289" s="303"/>
      <c r="F289" s="303"/>
      <c r="G289" s="325"/>
      <c r="H289" s="303"/>
      <c r="I289" s="303"/>
    </row>
    <row r="290" spans="1:9" x14ac:dyDescent="0.25">
      <c r="A290" s="303"/>
      <c r="B290" s="303"/>
      <c r="C290" s="303"/>
      <c r="D290" s="303"/>
      <c r="E290" s="303"/>
      <c r="F290" s="303"/>
      <c r="G290" s="325"/>
      <c r="H290" s="303"/>
      <c r="I290" s="303"/>
    </row>
    <row r="291" spans="1:9" x14ac:dyDescent="0.25">
      <c r="A291" s="303"/>
      <c r="B291" s="303"/>
      <c r="C291" s="303"/>
      <c r="D291" s="303"/>
      <c r="E291" s="303"/>
      <c r="F291" s="303"/>
      <c r="G291" s="325"/>
      <c r="H291" s="303"/>
      <c r="I291" s="303"/>
    </row>
    <row r="292" spans="1:9" x14ac:dyDescent="0.25">
      <c r="A292" s="303"/>
      <c r="B292" s="303"/>
      <c r="C292" s="303"/>
      <c r="D292" s="303"/>
      <c r="E292" s="303"/>
      <c r="F292" s="303"/>
      <c r="G292" s="325"/>
      <c r="H292" s="303"/>
      <c r="I292" s="303"/>
    </row>
    <row r="293" spans="1:9" x14ac:dyDescent="0.25">
      <c r="A293" s="303"/>
      <c r="B293" s="303"/>
      <c r="C293" s="303"/>
      <c r="D293" s="303"/>
      <c r="E293" s="303"/>
      <c r="F293" s="303"/>
      <c r="G293" s="325"/>
      <c r="H293" s="303"/>
      <c r="I293" s="303"/>
    </row>
    <row r="294" spans="1:9" x14ac:dyDescent="0.25">
      <c r="A294" s="303"/>
      <c r="B294" s="303"/>
      <c r="C294" s="303"/>
      <c r="D294" s="303"/>
      <c r="E294" s="303"/>
      <c r="F294" s="303"/>
      <c r="G294" s="325"/>
      <c r="H294" s="303"/>
      <c r="I294" s="303"/>
    </row>
    <row r="295" spans="1:9" x14ac:dyDescent="0.25">
      <c r="A295" s="303"/>
      <c r="B295" s="303"/>
      <c r="C295" s="303"/>
      <c r="D295" s="303"/>
      <c r="E295" s="303"/>
      <c r="F295" s="303"/>
      <c r="G295" s="325"/>
      <c r="H295" s="303"/>
      <c r="I295" s="303"/>
    </row>
    <row r="296" spans="1:9" x14ac:dyDescent="0.25">
      <c r="A296" s="303"/>
      <c r="B296" s="303"/>
      <c r="C296" s="303"/>
      <c r="D296" s="303"/>
      <c r="E296" s="303"/>
      <c r="F296" s="303"/>
      <c r="G296" s="325"/>
      <c r="H296" s="303"/>
      <c r="I296" s="303"/>
    </row>
    <row r="297" spans="1:9" x14ac:dyDescent="0.25">
      <c r="A297" s="303"/>
      <c r="B297" s="303"/>
      <c r="C297" s="303"/>
      <c r="D297" s="303"/>
      <c r="E297" s="303"/>
      <c r="F297" s="303"/>
      <c r="G297" s="325"/>
      <c r="H297" s="303"/>
      <c r="I297" s="303"/>
    </row>
    <row r="298" spans="1:9" x14ac:dyDescent="0.25">
      <c r="A298" s="303"/>
      <c r="B298" s="303"/>
      <c r="C298" s="303"/>
      <c r="D298" s="303"/>
      <c r="E298" s="303"/>
      <c r="F298" s="303"/>
      <c r="G298" s="325"/>
      <c r="H298" s="303"/>
      <c r="I298" s="303"/>
    </row>
    <row r="299" spans="1:9" x14ac:dyDescent="0.25">
      <c r="A299" s="303"/>
      <c r="B299" s="303"/>
      <c r="C299" s="303"/>
      <c r="D299" s="303"/>
      <c r="E299" s="303"/>
      <c r="F299" s="303"/>
      <c r="G299" s="325"/>
      <c r="H299" s="303"/>
      <c r="I299" s="303"/>
    </row>
    <row r="300" spans="1:9" x14ac:dyDescent="0.25">
      <c r="A300" s="303"/>
      <c r="B300" s="303"/>
      <c r="C300" s="303"/>
      <c r="D300" s="303"/>
      <c r="E300" s="303"/>
      <c r="F300" s="303"/>
      <c r="G300" s="325"/>
      <c r="H300" s="303"/>
      <c r="I300" s="303"/>
    </row>
    <row r="301" spans="1:9" x14ac:dyDescent="0.25">
      <c r="A301" s="303"/>
      <c r="B301" s="303"/>
      <c r="C301" s="303"/>
      <c r="D301" s="303"/>
      <c r="E301" s="303"/>
      <c r="F301" s="303"/>
      <c r="G301" s="325"/>
      <c r="H301" s="303"/>
      <c r="I301" s="303"/>
    </row>
    <row r="302" spans="1:9" x14ac:dyDescent="0.25">
      <c r="A302" s="303"/>
      <c r="B302" s="303"/>
      <c r="C302" s="303"/>
      <c r="D302" s="303"/>
      <c r="E302" s="303"/>
      <c r="F302" s="303"/>
      <c r="G302" s="325"/>
      <c r="H302" s="303"/>
      <c r="I302" s="303"/>
    </row>
    <row r="303" spans="1:9" x14ac:dyDescent="0.25">
      <c r="A303" s="303"/>
      <c r="B303" s="303"/>
      <c r="C303" s="303"/>
      <c r="D303" s="303"/>
      <c r="E303" s="303"/>
      <c r="F303" s="303"/>
      <c r="G303" s="325"/>
      <c r="H303" s="303"/>
      <c r="I303" s="303"/>
    </row>
    <row r="304" spans="1:9" x14ac:dyDescent="0.25">
      <c r="A304" s="303"/>
      <c r="B304" s="303"/>
      <c r="C304" s="303"/>
      <c r="D304" s="303"/>
      <c r="E304" s="303"/>
      <c r="F304" s="303"/>
      <c r="G304" s="325"/>
      <c r="H304" s="303"/>
      <c r="I304" s="303"/>
    </row>
    <row r="305" spans="1:9" x14ac:dyDescent="0.25">
      <c r="A305" s="303"/>
      <c r="B305" s="303"/>
      <c r="C305" s="303"/>
      <c r="D305" s="303"/>
      <c r="E305" s="303"/>
      <c r="F305" s="303"/>
      <c r="G305" s="325"/>
      <c r="H305" s="303"/>
      <c r="I305" s="303"/>
    </row>
    <row r="306" spans="1:9" x14ac:dyDescent="0.25">
      <c r="A306" s="303"/>
      <c r="B306" s="303"/>
      <c r="C306" s="303"/>
      <c r="D306" s="303"/>
      <c r="E306" s="303"/>
      <c r="F306" s="303"/>
      <c r="G306" s="325"/>
      <c r="H306" s="303"/>
      <c r="I306" s="303"/>
    </row>
    <row r="307" spans="1:9" x14ac:dyDescent="0.25">
      <c r="A307" s="303"/>
      <c r="B307" s="303"/>
      <c r="C307" s="303"/>
      <c r="D307" s="303"/>
      <c r="E307" s="303"/>
      <c r="F307" s="303"/>
      <c r="G307" s="325"/>
      <c r="H307" s="303"/>
      <c r="I307" s="303"/>
    </row>
    <row r="308" spans="1:9" x14ac:dyDescent="0.25">
      <c r="A308" s="303"/>
      <c r="B308" s="303"/>
      <c r="C308" s="303"/>
      <c r="D308" s="303"/>
      <c r="E308" s="303"/>
      <c r="F308" s="303"/>
      <c r="G308" s="325"/>
      <c r="H308" s="303"/>
      <c r="I308" s="303"/>
    </row>
    <row r="309" spans="1:9" x14ac:dyDescent="0.25">
      <c r="A309" s="303"/>
      <c r="B309" s="303"/>
      <c r="C309" s="303"/>
      <c r="D309" s="303"/>
      <c r="E309" s="303"/>
      <c r="F309" s="303"/>
      <c r="G309" s="325"/>
      <c r="H309" s="303"/>
      <c r="I309" s="303"/>
    </row>
    <row r="310" spans="1:9" x14ac:dyDescent="0.25">
      <c r="A310" s="303"/>
      <c r="B310" s="303"/>
      <c r="C310" s="303"/>
      <c r="D310" s="303"/>
      <c r="E310" s="303"/>
      <c r="F310" s="303"/>
      <c r="G310" s="325"/>
      <c r="H310" s="303"/>
      <c r="I310" s="303"/>
    </row>
    <row r="311" spans="1:9" x14ac:dyDescent="0.25">
      <c r="A311" s="303"/>
      <c r="B311" s="303"/>
      <c r="C311" s="303"/>
      <c r="D311" s="303"/>
      <c r="E311" s="303"/>
      <c r="F311" s="303"/>
      <c r="G311" s="325"/>
      <c r="H311" s="303"/>
      <c r="I311" s="303"/>
    </row>
    <row r="312" spans="1:9" x14ac:dyDescent="0.25">
      <c r="A312" s="303"/>
      <c r="B312" s="303"/>
      <c r="C312" s="303"/>
      <c r="D312" s="303"/>
      <c r="E312" s="303"/>
      <c r="F312" s="303"/>
      <c r="G312" s="325"/>
      <c r="H312" s="303"/>
      <c r="I312" s="303"/>
    </row>
    <row r="313" spans="1:9" x14ac:dyDescent="0.25">
      <c r="A313" s="303"/>
      <c r="B313" s="303"/>
      <c r="C313" s="303"/>
      <c r="D313" s="303"/>
      <c r="E313" s="303"/>
      <c r="F313" s="303"/>
      <c r="G313" s="325"/>
      <c r="H313" s="303"/>
      <c r="I313" s="303"/>
    </row>
    <row r="314" spans="1:9" x14ac:dyDescent="0.25">
      <c r="A314" s="303"/>
      <c r="B314" s="303"/>
      <c r="C314" s="303"/>
      <c r="D314" s="303"/>
      <c r="E314" s="303"/>
      <c r="F314" s="303"/>
      <c r="G314" s="325"/>
      <c r="H314" s="303"/>
      <c r="I314" s="303"/>
    </row>
    <row r="315" spans="1:9" x14ac:dyDescent="0.25">
      <c r="A315" s="303"/>
      <c r="B315" s="303"/>
      <c r="C315" s="303"/>
      <c r="D315" s="303"/>
      <c r="E315" s="303"/>
      <c r="F315" s="303"/>
      <c r="G315" s="325"/>
      <c r="H315" s="303"/>
      <c r="I315" s="303"/>
    </row>
    <row r="316" spans="1:9" x14ac:dyDescent="0.25">
      <c r="A316" s="303"/>
      <c r="B316" s="303"/>
      <c r="C316" s="303"/>
      <c r="D316" s="303"/>
      <c r="E316" s="303"/>
      <c r="F316" s="303"/>
      <c r="G316" s="325"/>
      <c r="H316" s="303"/>
      <c r="I316" s="303"/>
    </row>
    <row r="317" spans="1:9" x14ac:dyDescent="0.25">
      <c r="A317" s="303"/>
      <c r="B317" s="303"/>
      <c r="C317" s="303"/>
      <c r="D317" s="303"/>
      <c r="E317" s="303"/>
      <c r="F317" s="303"/>
      <c r="G317" s="325"/>
      <c r="H317" s="303"/>
      <c r="I317" s="303"/>
    </row>
    <row r="318" spans="1:9" x14ac:dyDescent="0.25">
      <c r="A318" s="303"/>
      <c r="B318" s="303"/>
      <c r="C318" s="303"/>
      <c r="D318" s="303"/>
      <c r="E318" s="303"/>
      <c r="F318" s="303"/>
      <c r="G318" s="325"/>
      <c r="H318" s="303"/>
      <c r="I318" s="303"/>
    </row>
    <row r="319" spans="1:9" x14ac:dyDescent="0.25">
      <c r="A319" s="303"/>
      <c r="B319" s="303"/>
      <c r="C319" s="303"/>
      <c r="D319" s="303"/>
      <c r="E319" s="303"/>
      <c r="F319" s="303"/>
      <c r="G319" s="325"/>
      <c r="H319" s="303"/>
      <c r="I319" s="303"/>
    </row>
    <row r="320" spans="1:9" x14ac:dyDescent="0.25">
      <c r="A320" s="303"/>
      <c r="B320" s="303"/>
      <c r="C320" s="303"/>
      <c r="D320" s="303"/>
      <c r="E320" s="303"/>
      <c r="F320" s="303"/>
      <c r="G320" s="325"/>
      <c r="H320" s="303"/>
      <c r="I320" s="303"/>
    </row>
    <row r="321" spans="1:9" x14ac:dyDescent="0.25">
      <c r="A321" s="303"/>
      <c r="B321" s="303"/>
      <c r="C321" s="303"/>
      <c r="D321" s="303"/>
      <c r="E321" s="303"/>
      <c r="F321" s="303"/>
      <c r="G321" s="325"/>
      <c r="H321" s="303"/>
      <c r="I321" s="303"/>
    </row>
    <row r="322" spans="1:9" x14ac:dyDescent="0.25">
      <c r="A322" s="303"/>
      <c r="B322" s="303"/>
      <c r="C322" s="303"/>
      <c r="D322" s="303"/>
      <c r="E322" s="303"/>
      <c r="F322" s="303"/>
      <c r="G322" s="325"/>
      <c r="H322" s="303"/>
      <c r="I322" s="303"/>
    </row>
    <row r="323" spans="1:9" x14ac:dyDescent="0.25">
      <c r="A323" s="303"/>
      <c r="B323" s="303"/>
      <c r="C323" s="303"/>
      <c r="D323" s="303"/>
      <c r="E323" s="303"/>
      <c r="F323" s="303"/>
      <c r="G323" s="325"/>
      <c r="H323" s="303"/>
      <c r="I323" s="303"/>
    </row>
    <row r="324" spans="1:9" x14ac:dyDescent="0.25">
      <c r="A324" s="303"/>
      <c r="B324" s="303"/>
      <c r="C324" s="303"/>
      <c r="D324" s="303"/>
      <c r="E324" s="303"/>
      <c r="F324" s="303"/>
      <c r="G324" s="325"/>
      <c r="H324" s="303"/>
      <c r="I324" s="303"/>
    </row>
    <row r="325" spans="1:9" x14ac:dyDescent="0.25">
      <c r="A325" s="303"/>
      <c r="B325" s="303"/>
      <c r="C325" s="303"/>
      <c r="D325" s="303"/>
      <c r="E325" s="303"/>
      <c r="F325" s="303"/>
      <c r="G325" s="325"/>
      <c r="H325" s="303"/>
      <c r="I325" s="303"/>
    </row>
    <row r="326" spans="1:9" x14ac:dyDescent="0.25">
      <c r="A326" s="303"/>
      <c r="B326" s="303"/>
      <c r="C326" s="303"/>
      <c r="D326" s="303"/>
      <c r="E326" s="303"/>
      <c r="F326" s="303"/>
      <c r="G326" s="325"/>
      <c r="H326" s="303"/>
      <c r="I326" s="303"/>
    </row>
    <row r="327" spans="1:9" x14ac:dyDescent="0.25">
      <c r="A327" s="303"/>
      <c r="B327" s="303"/>
      <c r="C327" s="303"/>
      <c r="D327" s="303"/>
      <c r="E327" s="303"/>
      <c r="F327" s="303"/>
      <c r="G327" s="325"/>
      <c r="H327" s="303"/>
      <c r="I327" s="303"/>
    </row>
    <row r="328" spans="1:9" x14ac:dyDescent="0.25">
      <c r="A328" s="303"/>
      <c r="B328" s="303"/>
      <c r="C328" s="303"/>
      <c r="D328" s="303"/>
      <c r="E328" s="303"/>
      <c r="F328" s="303"/>
      <c r="G328" s="325"/>
      <c r="H328" s="303"/>
      <c r="I328" s="303"/>
    </row>
    <row r="329" spans="1:9" x14ac:dyDescent="0.25">
      <c r="A329" s="303"/>
      <c r="B329" s="303"/>
      <c r="C329" s="303"/>
      <c r="D329" s="303"/>
      <c r="E329" s="303"/>
      <c r="F329" s="303"/>
      <c r="G329" s="325"/>
      <c r="H329" s="303"/>
      <c r="I329" s="303"/>
    </row>
    <row r="330" spans="1:9" x14ac:dyDescent="0.25">
      <c r="A330" s="303"/>
      <c r="B330" s="303"/>
      <c r="C330" s="303"/>
      <c r="D330" s="303"/>
      <c r="E330" s="303"/>
      <c r="F330" s="303"/>
      <c r="G330" s="325"/>
      <c r="H330" s="303"/>
      <c r="I330" s="303"/>
    </row>
    <row r="331" spans="1:9" x14ac:dyDescent="0.25">
      <c r="A331" s="303"/>
      <c r="B331" s="303"/>
      <c r="C331" s="303"/>
      <c r="D331" s="303"/>
      <c r="E331" s="303"/>
      <c r="F331" s="303"/>
      <c r="G331" s="325"/>
      <c r="H331" s="303"/>
      <c r="I331" s="303"/>
    </row>
    <row r="332" spans="1:9" x14ac:dyDescent="0.25">
      <c r="A332" s="303"/>
      <c r="B332" s="303"/>
      <c r="C332" s="303"/>
      <c r="D332" s="303"/>
      <c r="E332" s="303"/>
      <c r="F332" s="303"/>
      <c r="G332" s="325"/>
      <c r="H332" s="303"/>
      <c r="I332" s="303"/>
    </row>
    <row r="333" spans="1:9" x14ac:dyDescent="0.25">
      <c r="A333" s="303"/>
      <c r="B333" s="303"/>
      <c r="C333" s="303"/>
      <c r="D333" s="303"/>
      <c r="E333" s="303"/>
      <c r="F333" s="303"/>
      <c r="G333" s="325"/>
      <c r="H333" s="303"/>
      <c r="I333" s="303"/>
    </row>
    <row r="334" spans="1:9" x14ac:dyDescent="0.25">
      <c r="A334" s="303"/>
      <c r="B334" s="303"/>
      <c r="C334" s="303"/>
      <c r="D334" s="303"/>
      <c r="E334" s="303"/>
      <c r="F334" s="303"/>
      <c r="G334" s="325"/>
      <c r="H334" s="303"/>
      <c r="I334" s="303"/>
    </row>
    <row r="335" spans="1:9" x14ac:dyDescent="0.25">
      <c r="A335" s="303"/>
      <c r="B335" s="303"/>
      <c r="C335" s="303"/>
      <c r="D335" s="303"/>
      <c r="E335" s="303"/>
      <c r="F335" s="303"/>
      <c r="G335" s="325"/>
      <c r="H335" s="303"/>
      <c r="I335" s="303"/>
    </row>
    <row r="336" spans="1:9" x14ac:dyDescent="0.25">
      <c r="A336" s="303"/>
      <c r="B336" s="303"/>
      <c r="C336" s="303"/>
      <c r="D336" s="303"/>
      <c r="E336" s="303"/>
      <c r="F336" s="303"/>
      <c r="G336" s="325"/>
      <c r="H336" s="303"/>
      <c r="I336" s="303"/>
    </row>
    <row r="337" spans="1:9" x14ac:dyDescent="0.25">
      <c r="A337" s="303"/>
      <c r="B337" s="303"/>
      <c r="C337" s="303"/>
      <c r="D337" s="303"/>
      <c r="E337" s="303"/>
      <c r="F337" s="303"/>
      <c r="G337" s="325"/>
      <c r="H337" s="303"/>
      <c r="I337" s="303"/>
    </row>
    <row r="338" spans="1:9" x14ac:dyDescent="0.25">
      <c r="A338" s="303"/>
      <c r="B338" s="303"/>
      <c r="C338" s="303"/>
      <c r="D338" s="303"/>
      <c r="E338" s="303"/>
      <c r="F338" s="303"/>
      <c r="G338" s="325"/>
      <c r="H338" s="303"/>
      <c r="I338" s="303"/>
    </row>
    <row r="339" spans="1:9" x14ac:dyDescent="0.25">
      <c r="A339" s="303"/>
      <c r="B339" s="303"/>
      <c r="C339" s="303"/>
      <c r="D339" s="303"/>
      <c r="E339" s="303"/>
      <c r="F339" s="303"/>
      <c r="G339" s="325"/>
      <c r="H339" s="303"/>
      <c r="I339" s="303"/>
    </row>
    <row r="340" spans="1:9" x14ac:dyDescent="0.25">
      <c r="A340" s="303"/>
      <c r="B340" s="303"/>
      <c r="C340" s="303"/>
      <c r="D340" s="303"/>
      <c r="E340" s="303"/>
      <c r="F340" s="303"/>
      <c r="G340" s="325"/>
      <c r="H340" s="303"/>
      <c r="I340" s="303"/>
    </row>
    <row r="341" spans="1:9" x14ac:dyDescent="0.25">
      <c r="A341" s="303"/>
      <c r="B341" s="303"/>
      <c r="C341" s="303"/>
      <c r="D341" s="303"/>
      <c r="E341" s="303"/>
      <c r="F341" s="303"/>
      <c r="G341" s="325"/>
      <c r="H341" s="303"/>
      <c r="I341" s="303"/>
    </row>
    <row r="342" spans="1:9" x14ac:dyDescent="0.25">
      <c r="A342" s="303"/>
      <c r="B342" s="303"/>
      <c r="C342" s="303"/>
      <c r="D342" s="303"/>
      <c r="E342" s="303"/>
      <c r="F342" s="303"/>
      <c r="G342" s="325"/>
      <c r="H342" s="303"/>
      <c r="I342" s="303"/>
    </row>
    <row r="343" spans="1:9" x14ac:dyDescent="0.25">
      <c r="A343" s="303"/>
      <c r="B343" s="303"/>
      <c r="C343" s="303"/>
      <c r="D343" s="303"/>
      <c r="E343" s="303"/>
      <c r="F343" s="303"/>
      <c r="G343" s="325"/>
      <c r="H343" s="303"/>
      <c r="I343" s="303"/>
    </row>
    <row r="344" spans="1:9" x14ac:dyDescent="0.25">
      <c r="A344" s="303"/>
      <c r="B344" s="303"/>
      <c r="C344" s="303"/>
      <c r="D344" s="303"/>
      <c r="E344" s="303"/>
      <c r="F344" s="303"/>
      <c r="G344" s="325"/>
      <c r="H344" s="303"/>
      <c r="I344" s="303"/>
    </row>
    <row r="345" spans="1:9" x14ac:dyDescent="0.25">
      <c r="A345" s="303"/>
      <c r="B345" s="303"/>
      <c r="C345" s="303"/>
      <c r="D345" s="303"/>
      <c r="E345" s="303"/>
      <c r="F345" s="303"/>
      <c r="G345" s="325"/>
      <c r="H345" s="303"/>
      <c r="I345" s="303"/>
    </row>
    <row r="346" spans="1:9" x14ac:dyDescent="0.25">
      <c r="A346" s="303"/>
      <c r="B346" s="303"/>
      <c r="C346" s="303"/>
      <c r="D346" s="303"/>
      <c r="E346" s="303"/>
      <c r="F346" s="303"/>
      <c r="G346" s="325"/>
      <c r="H346" s="303"/>
      <c r="I346" s="303"/>
    </row>
    <row r="347" spans="1:9" x14ac:dyDescent="0.25">
      <c r="A347" s="303"/>
      <c r="B347" s="303"/>
      <c r="C347" s="303"/>
      <c r="D347" s="303"/>
      <c r="E347" s="303"/>
      <c r="F347" s="303"/>
      <c r="G347" s="325"/>
      <c r="H347" s="303"/>
      <c r="I347" s="303"/>
    </row>
    <row r="348" spans="1:9" x14ac:dyDescent="0.25">
      <c r="A348" s="303"/>
      <c r="B348" s="303"/>
      <c r="C348" s="303"/>
      <c r="D348" s="303"/>
      <c r="E348" s="303"/>
      <c r="F348" s="303"/>
      <c r="G348" s="325"/>
      <c r="H348" s="303"/>
      <c r="I348" s="303"/>
    </row>
    <row r="349" spans="1:9" x14ac:dyDescent="0.25">
      <c r="A349" s="303"/>
      <c r="B349" s="303"/>
      <c r="C349" s="303"/>
      <c r="D349" s="303"/>
      <c r="E349" s="303"/>
      <c r="F349" s="303"/>
      <c r="G349" s="325"/>
      <c r="H349" s="303"/>
      <c r="I349" s="303"/>
    </row>
    <row r="350" spans="1:9" x14ac:dyDescent="0.25">
      <c r="A350" s="303"/>
      <c r="B350" s="303"/>
      <c r="C350" s="303"/>
      <c r="D350" s="303"/>
      <c r="E350" s="303"/>
      <c r="F350" s="303"/>
      <c r="G350" s="325"/>
      <c r="H350" s="303"/>
      <c r="I350" s="303"/>
    </row>
    <row r="351" spans="1:9" x14ac:dyDescent="0.25">
      <c r="A351" s="303"/>
      <c r="B351" s="303"/>
      <c r="C351" s="303"/>
      <c r="D351" s="303"/>
      <c r="E351" s="303"/>
      <c r="F351" s="303"/>
      <c r="G351" s="325"/>
      <c r="H351" s="303"/>
      <c r="I351" s="303"/>
    </row>
    <row r="352" spans="1:9" x14ac:dyDescent="0.25">
      <c r="A352" s="303"/>
      <c r="B352" s="303"/>
      <c r="C352" s="303"/>
      <c r="D352" s="303"/>
      <c r="E352" s="303"/>
      <c r="F352" s="303"/>
      <c r="G352" s="325"/>
      <c r="H352" s="303"/>
      <c r="I352" s="303"/>
    </row>
    <row r="353" spans="1:9" x14ac:dyDescent="0.25">
      <c r="A353" s="303"/>
      <c r="B353" s="303"/>
      <c r="C353" s="303"/>
      <c r="D353" s="303"/>
      <c r="E353" s="303"/>
      <c r="F353" s="303"/>
      <c r="G353" s="325"/>
      <c r="H353" s="303"/>
      <c r="I353" s="303"/>
    </row>
    <row r="354" spans="1:9" x14ac:dyDescent="0.25">
      <c r="A354" s="303"/>
      <c r="B354" s="303"/>
      <c r="C354" s="303"/>
      <c r="D354" s="303"/>
      <c r="E354" s="303"/>
      <c r="F354" s="303"/>
      <c r="G354" s="325"/>
      <c r="H354" s="303"/>
      <c r="I354" s="303"/>
    </row>
    <row r="355" spans="1:9" x14ac:dyDescent="0.25">
      <c r="A355" s="303"/>
      <c r="B355" s="303"/>
      <c r="C355" s="303"/>
      <c r="D355" s="303"/>
      <c r="E355" s="303"/>
      <c r="F355" s="303"/>
      <c r="G355" s="325"/>
      <c r="H355" s="303"/>
      <c r="I355" s="303"/>
    </row>
    <row r="356" spans="1:9" x14ac:dyDescent="0.25">
      <c r="A356" s="303"/>
      <c r="B356" s="303"/>
      <c r="C356" s="303"/>
      <c r="D356" s="303"/>
      <c r="E356" s="303"/>
      <c r="F356" s="303"/>
      <c r="G356" s="325"/>
      <c r="H356" s="303"/>
      <c r="I356" s="303"/>
    </row>
    <row r="357" spans="1:9" x14ac:dyDescent="0.25">
      <c r="A357" s="303"/>
      <c r="B357" s="303"/>
      <c r="C357" s="303"/>
      <c r="D357" s="303"/>
      <c r="E357" s="303"/>
      <c r="F357" s="303"/>
      <c r="G357" s="325"/>
      <c r="H357" s="303"/>
      <c r="I357" s="303"/>
    </row>
    <row r="358" spans="1:9" x14ac:dyDescent="0.25">
      <c r="A358" s="303"/>
      <c r="B358" s="303"/>
      <c r="C358" s="303"/>
      <c r="D358" s="303"/>
      <c r="E358" s="303"/>
      <c r="F358" s="303"/>
      <c r="G358" s="325"/>
      <c r="H358" s="303"/>
      <c r="I358" s="303"/>
    </row>
    <row r="359" spans="1:9" x14ac:dyDescent="0.25">
      <c r="A359" s="303"/>
      <c r="B359" s="303"/>
      <c r="C359" s="303"/>
      <c r="D359" s="303"/>
      <c r="E359" s="303"/>
      <c r="F359" s="303"/>
      <c r="G359" s="325"/>
      <c r="H359" s="303"/>
      <c r="I359" s="303"/>
    </row>
    <row r="360" spans="1:9" x14ac:dyDescent="0.25">
      <c r="A360" s="303"/>
      <c r="B360" s="303"/>
      <c r="C360" s="303"/>
      <c r="D360" s="303"/>
      <c r="E360" s="303"/>
      <c r="F360" s="303"/>
      <c r="G360" s="325"/>
      <c r="H360" s="303"/>
      <c r="I360" s="303"/>
    </row>
    <row r="361" spans="1:9" x14ac:dyDescent="0.25">
      <c r="A361" s="303"/>
      <c r="B361" s="303"/>
      <c r="C361" s="303"/>
      <c r="D361" s="303"/>
      <c r="E361" s="303"/>
      <c r="F361" s="303"/>
      <c r="G361" s="325"/>
      <c r="H361" s="303"/>
      <c r="I361" s="303"/>
    </row>
    <row r="362" spans="1:9" x14ac:dyDescent="0.25">
      <c r="A362" s="303"/>
      <c r="B362" s="303"/>
      <c r="C362" s="303"/>
      <c r="D362" s="303"/>
      <c r="E362" s="303"/>
      <c r="F362" s="303"/>
      <c r="G362" s="325"/>
      <c r="H362" s="303"/>
      <c r="I362" s="303"/>
    </row>
    <row r="363" spans="1:9" x14ac:dyDescent="0.25">
      <c r="A363" s="303"/>
      <c r="B363" s="303"/>
      <c r="C363" s="303"/>
      <c r="D363" s="303"/>
      <c r="E363" s="303"/>
      <c r="F363" s="303"/>
      <c r="G363" s="325"/>
      <c r="H363" s="303"/>
      <c r="I363" s="303"/>
    </row>
    <row r="364" spans="1:9" x14ac:dyDescent="0.25">
      <c r="A364" s="303"/>
      <c r="B364" s="303"/>
      <c r="C364" s="303"/>
      <c r="D364" s="303"/>
      <c r="E364" s="303"/>
      <c r="F364" s="303"/>
      <c r="G364" s="325"/>
      <c r="H364" s="303"/>
      <c r="I364" s="303"/>
    </row>
    <row r="365" spans="1:9" x14ac:dyDescent="0.25">
      <c r="A365" s="303"/>
      <c r="B365" s="303"/>
      <c r="C365" s="303"/>
      <c r="D365" s="303"/>
      <c r="E365" s="303"/>
      <c r="F365" s="303"/>
      <c r="G365" s="325"/>
      <c r="H365" s="303"/>
      <c r="I365" s="303"/>
    </row>
    <row r="366" spans="1:9" x14ac:dyDescent="0.25">
      <c r="A366" s="303"/>
      <c r="B366" s="303"/>
      <c r="C366" s="303"/>
      <c r="D366" s="303"/>
      <c r="E366" s="303"/>
      <c r="F366" s="303"/>
      <c r="G366" s="325"/>
      <c r="H366" s="303"/>
      <c r="I366" s="303"/>
    </row>
    <row r="367" spans="1:9" x14ac:dyDescent="0.25">
      <c r="A367" s="303"/>
      <c r="B367" s="303"/>
      <c r="C367" s="303"/>
      <c r="D367" s="303"/>
      <c r="E367" s="303"/>
      <c r="F367" s="303"/>
      <c r="G367" s="325"/>
      <c r="H367" s="303"/>
      <c r="I367" s="303"/>
    </row>
    <row r="368" spans="1:9" x14ac:dyDescent="0.25">
      <c r="A368" s="303"/>
      <c r="B368" s="303"/>
      <c r="C368" s="303"/>
      <c r="D368" s="303"/>
      <c r="E368" s="303"/>
      <c r="F368" s="303"/>
      <c r="G368" s="325"/>
      <c r="H368" s="303"/>
      <c r="I368" s="303"/>
    </row>
    <row r="369" spans="1:9" x14ac:dyDescent="0.25">
      <c r="A369" s="303"/>
      <c r="B369" s="303"/>
      <c r="C369" s="303"/>
      <c r="D369" s="303"/>
      <c r="E369" s="303"/>
      <c r="F369" s="303"/>
      <c r="G369" s="325"/>
      <c r="H369" s="303"/>
      <c r="I369" s="303"/>
    </row>
    <row r="370" spans="1:9" x14ac:dyDescent="0.25">
      <c r="A370" s="303"/>
      <c r="B370" s="303"/>
      <c r="C370" s="303"/>
      <c r="D370" s="303"/>
      <c r="E370" s="303"/>
      <c r="F370" s="303"/>
      <c r="G370" s="325"/>
      <c r="H370" s="303"/>
      <c r="I370" s="303"/>
    </row>
    <row r="371" spans="1:9" x14ac:dyDescent="0.25">
      <c r="A371" s="303"/>
      <c r="B371" s="303"/>
      <c r="C371" s="303"/>
      <c r="D371" s="303"/>
      <c r="E371" s="303"/>
      <c r="F371" s="303"/>
      <c r="G371" s="325"/>
      <c r="H371" s="303"/>
      <c r="I371" s="303"/>
    </row>
    <row r="372" spans="1:9" x14ac:dyDescent="0.25">
      <c r="A372" s="303"/>
      <c r="B372" s="303"/>
      <c r="C372" s="303"/>
      <c r="D372" s="303"/>
      <c r="E372" s="303"/>
      <c r="F372" s="303"/>
      <c r="G372" s="325"/>
      <c r="H372" s="303"/>
      <c r="I372" s="303"/>
    </row>
    <row r="373" spans="1:9" x14ac:dyDescent="0.25">
      <c r="A373" s="303"/>
      <c r="B373" s="303"/>
      <c r="C373" s="303"/>
      <c r="D373" s="303"/>
      <c r="E373" s="303"/>
      <c r="F373" s="303"/>
      <c r="G373" s="325"/>
      <c r="H373" s="303"/>
      <c r="I373" s="303"/>
    </row>
    <row r="374" spans="1:9" x14ac:dyDescent="0.25">
      <c r="A374" s="303"/>
      <c r="B374" s="303"/>
      <c r="C374" s="303"/>
      <c r="D374" s="303"/>
      <c r="E374" s="303"/>
      <c r="F374" s="303"/>
      <c r="G374" s="325"/>
      <c r="H374" s="303"/>
      <c r="I374" s="303"/>
    </row>
    <row r="375" spans="1:9" x14ac:dyDescent="0.25">
      <c r="A375" s="303"/>
      <c r="B375" s="303"/>
      <c r="C375" s="303"/>
      <c r="D375" s="303"/>
      <c r="E375" s="303"/>
      <c r="F375" s="303"/>
      <c r="G375" s="325"/>
      <c r="H375" s="303"/>
      <c r="I375" s="303"/>
    </row>
    <row r="376" spans="1:9" x14ac:dyDescent="0.25">
      <c r="A376" s="303"/>
      <c r="B376" s="303"/>
      <c r="C376" s="303"/>
      <c r="D376" s="303"/>
      <c r="E376" s="303"/>
      <c r="F376" s="303"/>
      <c r="G376" s="325"/>
      <c r="H376" s="303"/>
      <c r="I376" s="303"/>
    </row>
    <row r="377" spans="1:9" x14ac:dyDescent="0.25">
      <c r="A377" s="303"/>
      <c r="B377" s="303"/>
      <c r="C377" s="303"/>
      <c r="D377" s="303"/>
      <c r="E377" s="303"/>
      <c r="F377" s="303"/>
      <c r="G377" s="325"/>
      <c r="H377" s="303"/>
      <c r="I377" s="303"/>
    </row>
    <row r="378" spans="1:9" x14ac:dyDescent="0.25">
      <c r="A378" s="303"/>
      <c r="B378" s="303"/>
      <c r="C378" s="303"/>
      <c r="D378" s="303"/>
      <c r="E378" s="303"/>
      <c r="F378" s="303"/>
      <c r="G378" s="325"/>
      <c r="H378" s="303"/>
      <c r="I378" s="303"/>
    </row>
    <row r="379" spans="1:9" x14ac:dyDescent="0.25">
      <c r="A379" s="303"/>
      <c r="B379" s="303"/>
      <c r="C379" s="303"/>
      <c r="D379" s="303"/>
      <c r="E379" s="303"/>
      <c r="F379" s="303"/>
      <c r="G379" s="325"/>
      <c r="H379" s="303"/>
      <c r="I379" s="303"/>
    </row>
    <row r="380" spans="1:9" x14ac:dyDescent="0.25">
      <c r="A380" s="303"/>
      <c r="B380" s="303"/>
      <c r="C380" s="303"/>
      <c r="D380" s="303"/>
      <c r="E380" s="303"/>
      <c r="F380" s="303"/>
      <c r="G380" s="325"/>
      <c r="H380" s="303"/>
      <c r="I380" s="303"/>
    </row>
    <row r="381" spans="1:9" x14ac:dyDescent="0.25">
      <c r="A381" s="303"/>
      <c r="B381" s="303"/>
      <c r="C381" s="303"/>
      <c r="D381" s="303"/>
      <c r="E381" s="303"/>
      <c r="F381" s="303"/>
      <c r="G381" s="325"/>
      <c r="H381" s="303"/>
      <c r="I381" s="303"/>
    </row>
    <row r="382" spans="1:9" x14ac:dyDescent="0.25">
      <c r="A382" s="303"/>
      <c r="B382" s="303"/>
      <c r="C382" s="303"/>
      <c r="D382" s="303"/>
      <c r="E382" s="303"/>
      <c r="F382" s="303"/>
      <c r="G382" s="325"/>
      <c r="H382" s="303"/>
      <c r="I382" s="303"/>
    </row>
    <row r="383" spans="1:9" x14ac:dyDescent="0.25">
      <c r="A383" s="303"/>
      <c r="B383" s="303"/>
      <c r="C383" s="303"/>
      <c r="D383" s="303"/>
      <c r="E383" s="303"/>
      <c r="F383" s="303"/>
      <c r="G383" s="325"/>
      <c r="H383" s="303"/>
      <c r="I383" s="303"/>
    </row>
    <row r="384" spans="1:9" x14ac:dyDescent="0.25">
      <c r="A384" s="303"/>
      <c r="B384" s="303"/>
      <c r="C384" s="303"/>
      <c r="D384" s="303"/>
      <c r="E384" s="303"/>
      <c r="F384" s="303"/>
      <c r="G384" s="325"/>
      <c r="H384" s="303"/>
      <c r="I384" s="303"/>
    </row>
    <row r="385" spans="1:9" x14ac:dyDescent="0.25">
      <c r="A385" s="303"/>
      <c r="B385" s="303"/>
      <c r="C385" s="303"/>
      <c r="D385" s="303"/>
      <c r="E385" s="303"/>
      <c r="F385" s="303"/>
      <c r="G385" s="325"/>
      <c r="H385" s="303"/>
      <c r="I385" s="303"/>
    </row>
    <row r="386" spans="1:9" x14ac:dyDescent="0.25">
      <c r="A386" s="303"/>
      <c r="B386" s="303"/>
      <c r="C386" s="303"/>
      <c r="D386" s="303"/>
      <c r="E386" s="303"/>
      <c r="F386" s="303"/>
      <c r="G386" s="325"/>
      <c r="H386" s="303"/>
      <c r="I386" s="303"/>
    </row>
    <row r="387" spans="1:9" x14ac:dyDescent="0.25">
      <c r="A387" s="303"/>
      <c r="B387" s="303"/>
      <c r="C387" s="303"/>
      <c r="D387" s="303"/>
      <c r="E387" s="303"/>
      <c r="F387" s="303"/>
      <c r="G387" s="325"/>
      <c r="H387" s="303"/>
      <c r="I387" s="303"/>
    </row>
    <row r="388" spans="1:9" x14ac:dyDescent="0.25">
      <c r="A388" s="303"/>
      <c r="B388" s="303"/>
      <c r="C388" s="303"/>
      <c r="D388" s="303"/>
      <c r="E388" s="303"/>
      <c r="F388" s="303"/>
      <c r="G388" s="325"/>
      <c r="H388" s="303"/>
      <c r="I388" s="303"/>
    </row>
    <row r="389" spans="1:9" x14ac:dyDescent="0.25">
      <c r="A389" s="303"/>
      <c r="B389" s="303"/>
      <c r="C389" s="303"/>
      <c r="D389" s="303"/>
      <c r="E389" s="303"/>
      <c r="F389" s="303"/>
      <c r="G389" s="325"/>
      <c r="H389" s="303"/>
      <c r="I389" s="303"/>
    </row>
    <row r="390" spans="1:9" x14ac:dyDescent="0.25">
      <c r="A390" s="303"/>
      <c r="B390" s="303"/>
      <c r="C390" s="303"/>
      <c r="D390" s="303"/>
      <c r="E390" s="303"/>
      <c r="F390" s="303"/>
      <c r="G390" s="325"/>
      <c r="H390" s="303"/>
      <c r="I390" s="303"/>
    </row>
    <row r="391" spans="1:9" x14ac:dyDescent="0.25">
      <c r="A391" s="303"/>
      <c r="B391" s="303"/>
      <c r="C391" s="303"/>
      <c r="D391" s="303"/>
      <c r="E391" s="303"/>
      <c r="F391" s="303"/>
      <c r="G391" s="325"/>
      <c r="H391" s="303"/>
      <c r="I391" s="303"/>
    </row>
    <row r="392" spans="1:9" x14ac:dyDescent="0.25">
      <c r="A392" s="303"/>
      <c r="B392" s="303"/>
      <c r="C392" s="303"/>
      <c r="D392" s="303"/>
      <c r="E392" s="303"/>
      <c r="F392" s="303"/>
      <c r="G392" s="325"/>
      <c r="H392" s="303"/>
      <c r="I392" s="303"/>
    </row>
    <row r="393" spans="1:9" x14ac:dyDescent="0.25">
      <c r="A393" s="303"/>
      <c r="B393" s="303"/>
      <c r="C393" s="303"/>
      <c r="D393" s="303"/>
      <c r="E393" s="303"/>
      <c r="F393" s="303"/>
      <c r="G393" s="325"/>
      <c r="H393" s="303"/>
      <c r="I393" s="303"/>
    </row>
    <row r="394" spans="1:9" x14ac:dyDescent="0.25">
      <c r="A394" s="303"/>
      <c r="B394" s="303"/>
      <c r="C394" s="303"/>
      <c r="D394" s="303"/>
      <c r="E394" s="303"/>
      <c r="F394" s="303"/>
      <c r="G394" s="325"/>
      <c r="H394" s="303"/>
      <c r="I394" s="303"/>
    </row>
    <row r="395" spans="1:9" x14ac:dyDescent="0.25">
      <c r="A395" s="303"/>
      <c r="B395" s="303"/>
      <c r="C395" s="303"/>
      <c r="D395" s="303"/>
      <c r="E395" s="303"/>
      <c r="F395" s="303"/>
      <c r="G395" s="325"/>
      <c r="H395" s="303"/>
      <c r="I395" s="303"/>
    </row>
    <row r="396" spans="1:9" x14ac:dyDescent="0.25">
      <c r="A396" s="303"/>
      <c r="B396" s="303"/>
      <c r="C396" s="303"/>
      <c r="D396" s="303"/>
      <c r="E396" s="303"/>
      <c r="F396" s="303"/>
      <c r="G396" s="325"/>
      <c r="H396" s="303"/>
      <c r="I396" s="303"/>
    </row>
    <row r="397" spans="1:9" x14ac:dyDescent="0.25">
      <c r="A397" s="303"/>
      <c r="B397" s="303"/>
      <c r="C397" s="303"/>
      <c r="D397" s="303"/>
      <c r="E397" s="303"/>
      <c r="F397" s="303"/>
      <c r="G397" s="325"/>
      <c r="H397" s="303"/>
      <c r="I397" s="303"/>
    </row>
    <row r="398" spans="1:9" x14ac:dyDescent="0.25">
      <c r="A398" s="303"/>
      <c r="B398" s="303"/>
      <c r="C398" s="303"/>
      <c r="D398" s="303"/>
      <c r="E398" s="303"/>
      <c r="F398" s="303"/>
      <c r="G398" s="325"/>
      <c r="H398" s="303"/>
      <c r="I398" s="303"/>
    </row>
    <row r="399" spans="1:9" x14ac:dyDescent="0.25">
      <c r="A399" s="303"/>
      <c r="B399" s="303"/>
      <c r="C399" s="303"/>
      <c r="D399" s="303"/>
      <c r="E399" s="303"/>
      <c r="F399" s="303"/>
      <c r="G399" s="325"/>
      <c r="H399" s="303"/>
      <c r="I399" s="303"/>
    </row>
    <row r="400" spans="1:9" x14ac:dyDescent="0.25">
      <c r="A400" s="303"/>
      <c r="B400" s="303"/>
      <c r="C400" s="303"/>
      <c r="D400" s="303"/>
      <c r="E400" s="303"/>
      <c r="F400" s="303"/>
      <c r="G400" s="325"/>
      <c r="H400" s="303"/>
      <c r="I400" s="303"/>
    </row>
    <row r="401" spans="1:9" x14ac:dyDescent="0.25">
      <c r="A401" s="303"/>
      <c r="B401" s="303"/>
      <c r="C401" s="303"/>
      <c r="D401" s="303"/>
      <c r="E401" s="303"/>
      <c r="F401" s="303"/>
      <c r="G401" s="325"/>
      <c r="H401" s="303"/>
      <c r="I401" s="303"/>
    </row>
    <row r="402" spans="1:9" x14ac:dyDescent="0.25">
      <c r="A402" s="303"/>
      <c r="B402" s="303"/>
      <c r="C402" s="303"/>
      <c r="D402" s="303"/>
      <c r="E402" s="303"/>
      <c r="F402" s="303"/>
      <c r="G402" s="325"/>
      <c r="H402" s="303"/>
      <c r="I402" s="303"/>
    </row>
    <row r="403" spans="1:9" x14ac:dyDescent="0.25">
      <c r="A403" s="303"/>
      <c r="B403" s="303"/>
      <c r="C403" s="303"/>
      <c r="D403" s="303"/>
      <c r="E403" s="303"/>
      <c r="F403" s="303"/>
      <c r="G403" s="325"/>
      <c r="H403" s="303"/>
      <c r="I403" s="303"/>
    </row>
    <row r="404" spans="1:9" x14ac:dyDescent="0.25">
      <c r="A404" s="303"/>
      <c r="B404" s="303"/>
      <c r="C404" s="303"/>
      <c r="D404" s="303"/>
      <c r="E404" s="303"/>
      <c r="F404" s="303"/>
      <c r="G404" s="325"/>
      <c r="H404" s="303"/>
      <c r="I404" s="303"/>
    </row>
    <row r="405" spans="1:9" x14ac:dyDescent="0.25">
      <c r="A405" s="303"/>
      <c r="B405" s="303"/>
      <c r="C405" s="303"/>
      <c r="D405" s="303"/>
      <c r="E405" s="303"/>
      <c r="F405" s="303"/>
      <c r="G405" s="325"/>
      <c r="H405" s="303"/>
      <c r="I405" s="303"/>
    </row>
    <row r="406" spans="1:9" x14ac:dyDescent="0.25">
      <c r="A406" s="303"/>
      <c r="B406" s="303"/>
      <c r="C406" s="303"/>
      <c r="D406" s="303"/>
      <c r="E406" s="303"/>
      <c r="F406" s="303"/>
      <c r="G406" s="325"/>
      <c r="H406" s="303"/>
      <c r="I406" s="303"/>
    </row>
    <row r="407" spans="1:9" x14ac:dyDescent="0.25">
      <c r="A407" s="303"/>
      <c r="B407" s="303"/>
      <c r="C407" s="303"/>
      <c r="D407" s="303"/>
      <c r="E407" s="303"/>
      <c r="F407" s="303"/>
      <c r="G407" s="325"/>
      <c r="H407" s="303"/>
      <c r="I407" s="303"/>
    </row>
    <row r="408" spans="1:9" x14ac:dyDescent="0.25">
      <c r="A408" s="303"/>
      <c r="B408" s="303"/>
      <c r="C408" s="303"/>
      <c r="D408" s="303"/>
      <c r="E408" s="303"/>
      <c r="F408" s="303"/>
      <c r="G408" s="325"/>
      <c r="H408" s="303"/>
      <c r="I408" s="303"/>
    </row>
    <row r="409" spans="1:9" x14ac:dyDescent="0.25">
      <c r="A409" s="303"/>
      <c r="B409" s="303"/>
      <c r="C409" s="303"/>
      <c r="D409" s="303"/>
      <c r="E409" s="303"/>
      <c r="F409" s="303"/>
      <c r="G409" s="325"/>
      <c r="H409" s="303"/>
      <c r="I409" s="303"/>
    </row>
    <row r="410" spans="1:9" x14ac:dyDescent="0.25">
      <c r="A410" s="303"/>
      <c r="B410" s="303"/>
      <c r="C410" s="303"/>
      <c r="D410" s="303"/>
      <c r="E410" s="303"/>
      <c r="F410" s="303"/>
      <c r="G410" s="325"/>
      <c r="H410" s="303"/>
      <c r="I410" s="303"/>
    </row>
    <row r="411" spans="1:9" x14ac:dyDescent="0.25">
      <c r="A411" s="303"/>
      <c r="B411" s="303"/>
      <c r="C411" s="303"/>
      <c r="D411" s="303"/>
      <c r="E411" s="303"/>
      <c r="F411" s="303"/>
      <c r="G411" s="325"/>
      <c r="H411" s="303"/>
      <c r="I411" s="303"/>
    </row>
    <row r="412" spans="1:9" x14ac:dyDescent="0.25">
      <c r="A412" s="303"/>
      <c r="B412" s="303"/>
      <c r="C412" s="303"/>
      <c r="D412" s="303"/>
      <c r="E412" s="303"/>
      <c r="F412" s="303"/>
      <c r="G412" s="325"/>
      <c r="H412" s="303"/>
      <c r="I412" s="303"/>
    </row>
    <row r="413" spans="1:9" x14ac:dyDescent="0.25">
      <c r="A413" s="303"/>
      <c r="B413" s="303"/>
      <c r="C413" s="303"/>
      <c r="D413" s="303"/>
      <c r="E413" s="303"/>
      <c r="F413" s="303"/>
      <c r="G413" s="325"/>
      <c r="H413" s="303"/>
      <c r="I413" s="303"/>
    </row>
    <row r="414" spans="1:9" x14ac:dyDescent="0.25">
      <c r="A414" s="303"/>
      <c r="B414" s="303"/>
      <c r="C414" s="303"/>
      <c r="D414" s="303"/>
      <c r="E414" s="303"/>
      <c r="F414" s="303"/>
      <c r="G414" s="325"/>
      <c r="H414" s="303"/>
      <c r="I414" s="303"/>
    </row>
    <row r="415" spans="1:9" x14ac:dyDescent="0.25">
      <c r="A415" s="303"/>
      <c r="B415" s="303"/>
      <c r="C415" s="303"/>
      <c r="D415" s="303"/>
      <c r="E415" s="303"/>
      <c r="F415" s="303"/>
      <c r="G415" s="325"/>
      <c r="H415" s="303"/>
      <c r="I415" s="303"/>
    </row>
    <row r="416" spans="1:9" x14ac:dyDescent="0.25">
      <c r="A416" s="303"/>
      <c r="B416" s="303"/>
      <c r="C416" s="303"/>
      <c r="D416" s="303"/>
      <c r="E416" s="303"/>
      <c r="F416" s="303"/>
      <c r="G416" s="325"/>
      <c r="H416" s="303"/>
      <c r="I416" s="303"/>
    </row>
    <row r="417" spans="1:9" x14ac:dyDescent="0.25">
      <c r="A417" s="303"/>
      <c r="B417" s="303"/>
      <c r="C417" s="303"/>
      <c r="D417" s="303"/>
      <c r="E417" s="303"/>
      <c r="F417" s="303"/>
      <c r="G417" s="325"/>
      <c r="H417" s="303"/>
      <c r="I417" s="303"/>
    </row>
    <row r="418" spans="1:9" x14ac:dyDescent="0.25">
      <c r="A418" s="303"/>
      <c r="B418" s="303"/>
      <c r="C418" s="303"/>
      <c r="D418" s="303"/>
      <c r="E418" s="303"/>
      <c r="F418" s="303"/>
      <c r="G418" s="325"/>
      <c r="H418" s="303"/>
      <c r="I418" s="303"/>
    </row>
    <row r="419" spans="1:9" x14ac:dyDescent="0.25">
      <c r="A419" s="303"/>
      <c r="B419" s="303"/>
      <c r="C419" s="303"/>
      <c r="D419" s="303"/>
      <c r="E419" s="303"/>
      <c r="F419" s="303"/>
      <c r="G419" s="325"/>
      <c r="H419" s="303"/>
      <c r="I419" s="303"/>
    </row>
    <row r="420" spans="1:9" x14ac:dyDescent="0.25">
      <c r="A420" s="303"/>
      <c r="B420" s="303"/>
      <c r="C420" s="303"/>
      <c r="D420" s="303"/>
      <c r="E420" s="303"/>
      <c r="F420" s="303"/>
      <c r="G420" s="325"/>
      <c r="H420" s="303"/>
      <c r="I420" s="303"/>
    </row>
    <row r="421" spans="1:9" x14ac:dyDescent="0.25">
      <c r="A421" s="303"/>
      <c r="B421" s="303"/>
      <c r="C421" s="303"/>
      <c r="D421" s="303"/>
      <c r="E421" s="303"/>
      <c r="F421" s="303"/>
      <c r="G421" s="325"/>
      <c r="H421" s="303"/>
      <c r="I421" s="303"/>
    </row>
    <row r="422" spans="1:9" x14ac:dyDescent="0.25">
      <c r="A422" s="303"/>
      <c r="B422" s="303"/>
      <c r="C422" s="303"/>
      <c r="D422" s="303"/>
      <c r="E422" s="303"/>
      <c r="F422" s="303"/>
      <c r="G422" s="325"/>
      <c r="H422" s="303"/>
      <c r="I422" s="303"/>
    </row>
    <row r="423" spans="1:9" x14ac:dyDescent="0.25">
      <c r="A423" s="303"/>
      <c r="B423" s="303"/>
      <c r="C423" s="303"/>
      <c r="D423" s="303"/>
      <c r="E423" s="303"/>
      <c r="F423" s="303"/>
      <c r="G423" s="325"/>
      <c r="H423" s="303"/>
      <c r="I423" s="303"/>
    </row>
    <row r="424" spans="1:9" x14ac:dyDescent="0.25">
      <c r="A424" s="303"/>
      <c r="B424" s="303"/>
      <c r="C424" s="303"/>
      <c r="D424" s="303"/>
      <c r="E424" s="303"/>
      <c r="F424" s="303"/>
      <c r="G424" s="325"/>
      <c r="H424" s="303"/>
      <c r="I424" s="303"/>
    </row>
    <row r="425" spans="1:9" x14ac:dyDescent="0.25">
      <c r="A425" s="303"/>
      <c r="B425" s="303"/>
      <c r="C425" s="303"/>
      <c r="D425" s="303"/>
      <c r="E425" s="303"/>
      <c r="F425" s="303"/>
      <c r="G425" s="325"/>
      <c r="H425" s="303"/>
      <c r="I425" s="303"/>
    </row>
    <row r="426" spans="1:9" x14ac:dyDescent="0.25">
      <c r="A426" s="303"/>
      <c r="B426" s="303"/>
      <c r="C426" s="303"/>
      <c r="D426" s="303"/>
      <c r="E426" s="303"/>
      <c r="F426" s="303"/>
      <c r="G426" s="325"/>
      <c r="H426" s="303"/>
      <c r="I426" s="303"/>
    </row>
    <row r="427" spans="1:9" x14ac:dyDescent="0.25">
      <c r="A427" s="303"/>
      <c r="B427" s="303"/>
      <c r="C427" s="303"/>
      <c r="D427" s="303"/>
      <c r="E427" s="303"/>
      <c r="F427" s="303"/>
      <c r="G427" s="325"/>
      <c r="H427" s="303"/>
      <c r="I427" s="303"/>
    </row>
    <row r="428" spans="1:9" x14ac:dyDescent="0.25">
      <c r="A428" s="303"/>
      <c r="B428" s="303"/>
      <c r="C428" s="303"/>
      <c r="D428" s="303"/>
      <c r="E428" s="303"/>
      <c r="F428" s="303"/>
      <c r="G428" s="325"/>
      <c r="H428" s="303"/>
      <c r="I428" s="303"/>
    </row>
    <row r="429" spans="1:9" x14ac:dyDescent="0.25">
      <c r="A429" s="303"/>
      <c r="B429" s="303"/>
      <c r="C429" s="303"/>
      <c r="D429" s="303"/>
      <c r="E429" s="303"/>
      <c r="F429" s="303"/>
      <c r="G429" s="325"/>
      <c r="H429" s="303"/>
      <c r="I429" s="303"/>
    </row>
    <row r="430" spans="1:9" x14ac:dyDescent="0.25">
      <c r="A430" s="303"/>
      <c r="B430" s="303"/>
      <c r="C430" s="303"/>
      <c r="D430" s="303"/>
      <c r="E430" s="303"/>
      <c r="F430" s="303"/>
      <c r="G430" s="325"/>
      <c r="H430" s="303"/>
      <c r="I430" s="303"/>
    </row>
    <row r="431" spans="1:9" x14ac:dyDescent="0.25">
      <c r="A431" s="303"/>
      <c r="B431" s="303"/>
      <c r="C431" s="303"/>
      <c r="D431" s="303"/>
      <c r="E431" s="303"/>
      <c r="F431" s="303"/>
      <c r="G431" s="325"/>
      <c r="H431" s="303"/>
      <c r="I431" s="303"/>
    </row>
    <row r="432" spans="1:9" x14ac:dyDescent="0.25">
      <c r="A432" s="303"/>
      <c r="B432" s="303"/>
      <c r="C432" s="303"/>
      <c r="D432" s="303"/>
      <c r="E432" s="303"/>
      <c r="F432" s="303"/>
      <c r="G432" s="325"/>
      <c r="H432" s="303"/>
      <c r="I432" s="303"/>
    </row>
    <row r="433" spans="1:9" x14ac:dyDescent="0.25">
      <c r="A433" s="303"/>
      <c r="B433" s="303"/>
      <c r="C433" s="303"/>
      <c r="D433" s="303"/>
      <c r="E433" s="303"/>
      <c r="F433" s="303"/>
      <c r="G433" s="325"/>
      <c r="H433" s="303"/>
      <c r="I433" s="303"/>
    </row>
    <row r="434" spans="1:9" x14ac:dyDescent="0.25">
      <c r="A434" s="303"/>
      <c r="B434" s="303"/>
      <c r="C434" s="303"/>
      <c r="D434" s="303"/>
      <c r="E434" s="303"/>
      <c r="F434" s="303"/>
      <c r="G434" s="325"/>
      <c r="H434" s="303"/>
      <c r="I434" s="303"/>
    </row>
    <row r="435" spans="1:9" x14ac:dyDescent="0.25">
      <c r="A435" s="303"/>
      <c r="B435" s="303"/>
      <c r="C435" s="303"/>
      <c r="D435" s="303"/>
      <c r="E435" s="303"/>
      <c r="F435" s="303"/>
      <c r="G435" s="325"/>
      <c r="H435" s="303"/>
      <c r="I435" s="303"/>
    </row>
    <row r="436" spans="1:9" x14ac:dyDescent="0.25">
      <c r="A436" s="303"/>
      <c r="B436" s="303"/>
      <c r="C436" s="303"/>
      <c r="D436" s="303"/>
      <c r="E436" s="303"/>
      <c r="F436" s="303"/>
      <c r="G436" s="325"/>
      <c r="H436" s="303"/>
      <c r="I436" s="303"/>
    </row>
    <row r="437" spans="1:9" x14ac:dyDescent="0.25">
      <c r="A437" s="303"/>
      <c r="B437" s="303"/>
      <c r="C437" s="303"/>
      <c r="D437" s="303"/>
      <c r="E437" s="303"/>
      <c r="F437" s="303"/>
      <c r="G437" s="325"/>
      <c r="H437" s="303"/>
      <c r="I437" s="303"/>
    </row>
    <row r="438" spans="1:9" x14ac:dyDescent="0.25">
      <c r="A438" s="303"/>
      <c r="B438" s="303"/>
      <c r="C438" s="303"/>
      <c r="D438" s="303"/>
      <c r="E438" s="303"/>
      <c r="F438" s="303"/>
      <c r="G438" s="325"/>
      <c r="H438" s="303"/>
      <c r="I438" s="303"/>
    </row>
    <row r="439" spans="1:9" x14ac:dyDescent="0.25">
      <c r="A439" s="303"/>
      <c r="B439" s="303"/>
      <c r="C439" s="303"/>
      <c r="D439" s="303"/>
      <c r="E439" s="303"/>
      <c r="F439" s="303"/>
      <c r="G439" s="325"/>
      <c r="H439" s="303"/>
      <c r="I439" s="303"/>
    </row>
    <row r="440" spans="1:9" x14ac:dyDescent="0.25">
      <c r="A440" s="303"/>
      <c r="B440" s="303"/>
      <c r="C440" s="303"/>
      <c r="D440" s="303"/>
      <c r="E440" s="303"/>
      <c r="F440" s="303"/>
      <c r="G440" s="325"/>
      <c r="H440" s="303"/>
      <c r="I440" s="303"/>
    </row>
    <row r="441" spans="1:9" x14ac:dyDescent="0.25">
      <c r="A441" s="303"/>
      <c r="B441" s="303"/>
      <c r="C441" s="303"/>
      <c r="D441" s="303"/>
      <c r="E441" s="303"/>
      <c r="F441" s="303"/>
      <c r="G441" s="325"/>
      <c r="H441" s="303"/>
      <c r="I441" s="303"/>
    </row>
    <row r="442" spans="1:9" x14ac:dyDescent="0.25">
      <c r="A442" s="303"/>
      <c r="B442" s="303"/>
      <c r="C442" s="303"/>
      <c r="D442" s="303"/>
      <c r="E442" s="303"/>
      <c r="F442" s="303"/>
      <c r="G442" s="325"/>
      <c r="H442" s="303"/>
      <c r="I442" s="303"/>
    </row>
    <row r="443" spans="1:9" x14ac:dyDescent="0.25">
      <c r="A443" s="303"/>
      <c r="B443" s="303"/>
      <c r="C443" s="303"/>
      <c r="D443" s="303"/>
      <c r="E443" s="303"/>
      <c r="F443" s="303"/>
      <c r="G443" s="325"/>
      <c r="H443" s="303"/>
      <c r="I443" s="303"/>
    </row>
    <row r="444" spans="1:9" x14ac:dyDescent="0.25">
      <c r="A444" s="303"/>
      <c r="B444" s="303"/>
      <c r="C444" s="303"/>
      <c r="D444" s="303"/>
      <c r="E444" s="303"/>
      <c r="F444" s="303"/>
      <c r="G444" s="325"/>
      <c r="H444" s="303"/>
      <c r="I444" s="303"/>
    </row>
    <row r="445" spans="1:9" x14ac:dyDescent="0.25">
      <c r="A445" s="303"/>
      <c r="B445" s="303"/>
      <c r="C445" s="303"/>
      <c r="D445" s="303"/>
      <c r="E445" s="303"/>
      <c r="F445" s="303"/>
      <c r="G445" s="325"/>
      <c r="H445" s="303"/>
      <c r="I445" s="303"/>
    </row>
    <row r="446" spans="1:9" x14ac:dyDescent="0.25">
      <c r="A446" s="303"/>
      <c r="B446" s="303"/>
      <c r="C446" s="303"/>
      <c r="D446" s="303"/>
      <c r="E446" s="303"/>
      <c r="F446" s="303"/>
      <c r="G446" s="325"/>
      <c r="H446" s="303"/>
      <c r="I446" s="303"/>
    </row>
    <row r="447" spans="1:9" x14ac:dyDescent="0.25">
      <c r="A447" s="303"/>
      <c r="B447" s="303"/>
      <c r="C447" s="303"/>
      <c r="D447" s="303"/>
      <c r="E447" s="303"/>
      <c r="F447" s="303"/>
      <c r="G447" s="325"/>
      <c r="H447" s="303"/>
      <c r="I447" s="303"/>
    </row>
    <row r="448" spans="1:9" x14ac:dyDescent="0.25">
      <c r="A448" s="303"/>
      <c r="B448" s="303"/>
      <c r="C448" s="303"/>
      <c r="D448" s="303"/>
      <c r="E448" s="303"/>
      <c r="F448" s="303"/>
      <c r="G448" s="325"/>
      <c r="H448" s="303"/>
      <c r="I448" s="303"/>
    </row>
    <row r="449" spans="1:9" x14ac:dyDescent="0.25">
      <c r="A449" s="303"/>
      <c r="B449" s="303"/>
      <c r="C449" s="303"/>
      <c r="D449" s="303"/>
      <c r="E449" s="303"/>
      <c r="F449" s="303"/>
      <c r="G449" s="325"/>
      <c r="H449" s="303"/>
      <c r="I449" s="303"/>
    </row>
    <row r="450" spans="1:9" x14ac:dyDescent="0.25">
      <c r="A450" s="303"/>
      <c r="B450" s="303"/>
      <c r="C450" s="303"/>
      <c r="D450" s="303"/>
      <c r="E450" s="303"/>
      <c r="F450" s="303"/>
      <c r="G450" s="325"/>
      <c r="H450" s="303"/>
      <c r="I450" s="303"/>
    </row>
    <row r="451" spans="1:9" x14ac:dyDescent="0.25">
      <c r="A451" s="303"/>
      <c r="B451" s="303"/>
      <c r="C451" s="303"/>
      <c r="D451" s="303"/>
      <c r="E451" s="303"/>
      <c r="F451" s="303"/>
      <c r="G451" s="325"/>
      <c r="H451" s="303"/>
      <c r="I451" s="303"/>
    </row>
    <row r="452" spans="1:9" x14ac:dyDescent="0.25">
      <c r="A452" s="303"/>
      <c r="B452" s="303"/>
      <c r="C452" s="303"/>
      <c r="D452" s="303"/>
      <c r="E452" s="303"/>
      <c r="F452" s="303"/>
      <c r="G452" s="325"/>
      <c r="H452" s="303"/>
      <c r="I452" s="303"/>
    </row>
    <row r="453" spans="1:9" x14ac:dyDescent="0.25">
      <c r="A453" s="303"/>
      <c r="B453" s="303"/>
      <c r="C453" s="303"/>
      <c r="D453" s="303"/>
      <c r="E453" s="303"/>
      <c r="F453" s="303"/>
      <c r="G453" s="325"/>
      <c r="H453" s="303"/>
      <c r="I453" s="303"/>
    </row>
    <row r="454" spans="1:9" x14ac:dyDescent="0.25">
      <c r="A454" s="303"/>
      <c r="B454" s="303"/>
      <c r="C454" s="303"/>
      <c r="D454" s="303"/>
      <c r="E454" s="303"/>
      <c r="F454" s="303"/>
      <c r="G454" s="325"/>
      <c r="H454" s="303"/>
      <c r="I454" s="303"/>
    </row>
    <row r="455" spans="1:9" x14ac:dyDescent="0.25">
      <c r="A455" s="303"/>
      <c r="B455" s="303"/>
      <c r="C455" s="303"/>
      <c r="D455" s="303"/>
      <c r="E455" s="303"/>
      <c r="F455" s="303"/>
      <c r="G455" s="325"/>
      <c r="H455" s="303"/>
      <c r="I455" s="303"/>
    </row>
    <row r="456" spans="1:9" x14ac:dyDescent="0.25">
      <c r="A456" s="303"/>
      <c r="B456" s="303"/>
      <c r="C456" s="303"/>
      <c r="D456" s="303"/>
      <c r="E456" s="303"/>
      <c r="F456" s="303"/>
      <c r="G456" s="325"/>
      <c r="H456" s="303"/>
      <c r="I456" s="303"/>
    </row>
    <row r="457" spans="1:9" x14ac:dyDescent="0.25">
      <c r="A457" s="303"/>
      <c r="B457" s="303"/>
      <c r="C457" s="303"/>
      <c r="D457" s="303"/>
      <c r="E457" s="303"/>
      <c r="F457" s="303"/>
      <c r="G457" s="325"/>
      <c r="H457" s="303"/>
      <c r="I457" s="303"/>
    </row>
    <row r="458" spans="1:9" x14ac:dyDescent="0.25">
      <c r="A458" s="303"/>
      <c r="B458" s="303"/>
      <c r="C458" s="303"/>
      <c r="D458" s="303"/>
      <c r="E458" s="303"/>
      <c r="F458" s="303"/>
      <c r="G458" s="325"/>
      <c r="H458" s="303"/>
      <c r="I458" s="303"/>
    </row>
    <row r="459" spans="1:9" x14ac:dyDescent="0.25">
      <c r="A459" s="303"/>
      <c r="B459" s="303"/>
      <c r="C459" s="303"/>
      <c r="D459" s="303"/>
      <c r="E459" s="303"/>
      <c r="F459" s="303"/>
      <c r="G459" s="325"/>
      <c r="H459" s="303"/>
      <c r="I459" s="303"/>
    </row>
    <row r="460" spans="1:9" x14ac:dyDescent="0.25">
      <c r="A460" s="303"/>
      <c r="B460" s="303"/>
      <c r="C460" s="303"/>
      <c r="D460" s="303"/>
      <c r="E460" s="303"/>
      <c r="F460" s="303"/>
      <c r="G460" s="325"/>
      <c r="H460" s="303"/>
      <c r="I460" s="303"/>
    </row>
    <row r="461" spans="1:9" x14ac:dyDescent="0.25">
      <c r="A461" s="303"/>
      <c r="B461" s="303"/>
      <c r="C461" s="303"/>
      <c r="D461" s="303"/>
      <c r="E461" s="303"/>
      <c r="F461" s="303"/>
      <c r="G461" s="325"/>
      <c r="H461" s="303"/>
      <c r="I461" s="303"/>
    </row>
    <row r="462" spans="1:9" x14ac:dyDescent="0.25">
      <c r="A462" s="303"/>
      <c r="B462" s="303"/>
      <c r="C462" s="303"/>
      <c r="D462" s="303"/>
      <c r="E462" s="303"/>
      <c r="F462" s="303"/>
      <c r="G462" s="325"/>
      <c r="H462" s="303"/>
      <c r="I462" s="303"/>
    </row>
    <row r="463" spans="1:9" x14ac:dyDescent="0.25">
      <c r="A463" s="303"/>
      <c r="B463" s="303"/>
      <c r="C463" s="303"/>
      <c r="D463" s="303"/>
      <c r="E463" s="303"/>
      <c r="F463" s="303"/>
      <c r="G463" s="325"/>
      <c r="H463" s="303"/>
      <c r="I463" s="303"/>
    </row>
    <row r="464" spans="1:9" x14ac:dyDescent="0.25">
      <c r="A464" s="303"/>
      <c r="B464" s="303"/>
      <c r="C464" s="303"/>
      <c r="D464" s="303"/>
      <c r="E464" s="303"/>
      <c r="F464" s="303"/>
      <c r="G464" s="325"/>
      <c r="H464" s="303"/>
      <c r="I464" s="303"/>
    </row>
    <row r="465" spans="1:9" x14ac:dyDescent="0.25">
      <c r="A465" s="303"/>
      <c r="B465" s="303"/>
      <c r="C465" s="303"/>
      <c r="D465" s="303"/>
      <c r="E465" s="303"/>
      <c r="F465" s="303"/>
      <c r="G465" s="325"/>
      <c r="H465" s="303"/>
      <c r="I465" s="303"/>
    </row>
    <row r="466" spans="1:9" x14ac:dyDescent="0.25">
      <c r="A466" s="303"/>
      <c r="B466" s="303"/>
      <c r="C466" s="303"/>
      <c r="D466" s="303"/>
      <c r="E466" s="303"/>
      <c r="F466" s="303"/>
      <c r="G466" s="325"/>
      <c r="H466" s="303"/>
      <c r="I466" s="303"/>
    </row>
    <row r="467" spans="1:9" x14ac:dyDescent="0.25">
      <c r="A467" s="303"/>
      <c r="B467" s="303"/>
      <c r="C467" s="303"/>
      <c r="D467" s="303"/>
      <c r="E467" s="303"/>
      <c r="F467" s="303"/>
      <c r="G467" s="325"/>
      <c r="H467" s="303"/>
      <c r="I467" s="303"/>
    </row>
    <row r="468" spans="1:9" x14ac:dyDescent="0.25">
      <c r="A468" s="303"/>
      <c r="B468" s="303"/>
      <c r="C468" s="303"/>
      <c r="D468" s="303"/>
      <c r="E468" s="303"/>
      <c r="F468" s="303"/>
      <c r="G468" s="325"/>
      <c r="H468" s="303"/>
      <c r="I468" s="303"/>
    </row>
    <row r="469" spans="1:9" x14ac:dyDescent="0.25">
      <c r="A469" s="303"/>
      <c r="B469" s="303"/>
      <c r="C469" s="303"/>
      <c r="D469" s="303"/>
      <c r="E469" s="303"/>
      <c r="F469" s="303"/>
      <c r="G469" s="325"/>
      <c r="H469" s="303"/>
      <c r="I469" s="303"/>
    </row>
    <row r="470" spans="1:9" x14ac:dyDescent="0.25">
      <c r="A470" s="303"/>
      <c r="B470" s="303"/>
      <c r="C470" s="303"/>
      <c r="D470" s="303"/>
      <c r="E470" s="303"/>
      <c r="F470" s="303"/>
      <c r="G470" s="325"/>
      <c r="H470" s="303"/>
      <c r="I470" s="303"/>
    </row>
    <row r="471" spans="1:9" x14ac:dyDescent="0.25">
      <c r="A471" s="303"/>
      <c r="B471" s="303"/>
      <c r="C471" s="303"/>
      <c r="D471" s="303"/>
      <c r="E471" s="303"/>
      <c r="F471" s="303"/>
      <c r="G471" s="325"/>
      <c r="H471" s="303"/>
      <c r="I471" s="303"/>
    </row>
    <row r="472" spans="1:9" x14ac:dyDescent="0.25">
      <c r="A472" s="303"/>
      <c r="B472" s="303"/>
      <c r="C472" s="303"/>
      <c r="D472" s="303"/>
      <c r="E472" s="303"/>
      <c r="F472" s="303"/>
      <c r="G472" s="325"/>
      <c r="H472" s="303"/>
      <c r="I472" s="303"/>
    </row>
    <row r="473" spans="1:9" x14ac:dyDescent="0.25">
      <c r="A473" s="303"/>
      <c r="B473" s="303"/>
      <c r="C473" s="303"/>
      <c r="D473" s="303"/>
      <c r="E473" s="303"/>
      <c r="F473" s="303"/>
      <c r="G473" s="325"/>
      <c r="H473" s="303"/>
      <c r="I473" s="303"/>
    </row>
    <row r="474" spans="1:9" x14ac:dyDescent="0.25">
      <c r="A474" s="303"/>
      <c r="B474" s="303"/>
      <c r="C474" s="303"/>
      <c r="D474" s="303"/>
      <c r="E474" s="303"/>
      <c r="F474" s="303"/>
      <c r="G474" s="325"/>
      <c r="H474" s="303"/>
      <c r="I474" s="303"/>
    </row>
    <row r="475" spans="1:9" x14ac:dyDescent="0.25">
      <c r="A475" s="303"/>
      <c r="B475" s="303"/>
      <c r="C475" s="303"/>
      <c r="D475" s="303"/>
      <c r="E475" s="303"/>
      <c r="F475" s="303"/>
      <c r="G475" s="325"/>
      <c r="H475" s="303"/>
      <c r="I475" s="303"/>
    </row>
    <row r="476" spans="1:9" x14ac:dyDescent="0.25">
      <c r="A476" s="303"/>
      <c r="B476" s="303"/>
      <c r="C476" s="303"/>
      <c r="D476" s="303"/>
      <c r="E476" s="303"/>
      <c r="F476" s="303"/>
      <c r="G476" s="325"/>
      <c r="H476" s="303"/>
      <c r="I476" s="303"/>
    </row>
    <row r="477" spans="1:9" x14ac:dyDescent="0.25">
      <c r="A477" s="303"/>
      <c r="B477" s="303"/>
      <c r="C477" s="303"/>
      <c r="D477" s="303"/>
      <c r="E477" s="303"/>
      <c r="F477" s="303"/>
      <c r="G477" s="325"/>
      <c r="H477" s="303"/>
      <c r="I477" s="303"/>
    </row>
    <row r="478" spans="1:9" x14ac:dyDescent="0.25">
      <c r="A478" s="303"/>
      <c r="B478" s="303"/>
      <c r="C478" s="303"/>
      <c r="D478" s="303"/>
      <c r="E478" s="303"/>
      <c r="F478" s="303"/>
      <c r="G478" s="325"/>
      <c r="H478" s="303"/>
      <c r="I478" s="303"/>
    </row>
    <row r="479" spans="1:9" x14ac:dyDescent="0.25">
      <c r="A479" s="303"/>
      <c r="B479" s="303"/>
      <c r="C479" s="303"/>
      <c r="D479" s="303"/>
      <c r="E479" s="303"/>
      <c r="F479" s="303"/>
      <c r="G479" s="325"/>
      <c r="H479" s="303"/>
      <c r="I479" s="303"/>
    </row>
    <row r="480" spans="1:9" x14ac:dyDescent="0.25">
      <c r="A480" s="303"/>
      <c r="B480" s="303"/>
      <c r="C480" s="303"/>
      <c r="D480" s="303"/>
      <c r="E480" s="303"/>
      <c r="F480" s="303"/>
      <c r="G480" s="325"/>
      <c r="H480" s="303"/>
      <c r="I480" s="303"/>
    </row>
    <row r="481" spans="1:9" x14ac:dyDescent="0.25">
      <c r="A481" s="303"/>
      <c r="B481" s="303"/>
      <c r="C481" s="303"/>
      <c r="D481" s="303"/>
      <c r="E481" s="303"/>
      <c r="F481" s="303"/>
      <c r="G481" s="325"/>
      <c r="H481" s="303"/>
      <c r="I481" s="303"/>
    </row>
    <row r="482" spans="1:9" x14ac:dyDescent="0.25">
      <c r="A482" s="303"/>
      <c r="B482" s="303"/>
      <c r="C482" s="303"/>
      <c r="D482" s="303"/>
      <c r="E482" s="303"/>
      <c r="F482" s="303"/>
      <c r="G482" s="325"/>
      <c r="H482" s="303"/>
      <c r="I482" s="303"/>
    </row>
    <row r="483" spans="1:9" x14ac:dyDescent="0.25">
      <c r="A483" s="303"/>
      <c r="B483" s="303"/>
      <c r="C483" s="303"/>
      <c r="D483" s="303"/>
      <c r="E483" s="303"/>
      <c r="F483" s="303"/>
      <c r="G483" s="325"/>
      <c r="H483" s="303"/>
      <c r="I483" s="303"/>
    </row>
    <row r="484" spans="1:9" x14ac:dyDescent="0.25">
      <c r="A484" s="303"/>
      <c r="B484" s="303"/>
      <c r="C484" s="303"/>
      <c r="D484" s="303"/>
      <c r="E484" s="303"/>
      <c r="F484" s="303"/>
      <c r="G484" s="325"/>
      <c r="H484" s="303"/>
      <c r="I484" s="303"/>
    </row>
    <row r="485" spans="1:9" x14ac:dyDescent="0.25">
      <c r="A485" s="303"/>
      <c r="B485" s="303"/>
      <c r="C485" s="303"/>
      <c r="D485" s="303"/>
      <c r="E485" s="303"/>
      <c r="F485" s="303"/>
      <c r="G485" s="325"/>
      <c r="H485" s="303"/>
      <c r="I485" s="303"/>
    </row>
    <row r="486" spans="1:9" x14ac:dyDescent="0.25">
      <c r="A486" s="303"/>
      <c r="B486" s="303"/>
      <c r="C486" s="303"/>
      <c r="D486" s="303"/>
      <c r="E486" s="303"/>
      <c r="F486" s="303"/>
      <c r="G486" s="325"/>
      <c r="H486" s="303"/>
      <c r="I486" s="303"/>
    </row>
    <row r="487" spans="1:9" x14ac:dyDescent="0.25">
      <c r="A487" s="303"/>
      <c r="B487" s="303"/>
      <c r="C487" s="303"/>
      <c r="D487" s="303"/>
      <c r="E487" s="303"/>
      <c r="F487" s="303"/>
      <c r="G487" s="325"/>
      <c r="H487" s="303"/>
      <c r="I487" s="303"/>
    </row>
    <row r="488" spans="1:9" x14ac:dyDescent="0.25">
      <c r="A488" s="303"/>
      <c r="B488" s="303"/>
      <c r="C488" s="303"/>
      <c r="D488" s="303"/>
      <c r="E488" s="303"/>
      <c r="F488" s="303"/>
      <c r="G488" s="325"/>
      <c r="H488" s="303"/>
      <c r="I488" s="303"/>
    </row>
    <row r="489" spans="1:9" x14ac:dyDescent="0.25">
      <c r="A489" s="303"/>
      <c r="B489" s="303"/>
      <c r="C489" s="303"/>
      <c r="D489" s="303"/>
      <c r="E489" s="303"/>
      <c r="F489" s="303"/>
      <c r="G489" s="325"/>
      <c r="H489" s="303"/>
      <c r="I489" s="303"/>
    </row>
    <row r="490" spans="1:9" x14ac:dyDescent="0.25">
      <c r="A490" s="303"/>
      <c r="B490" s="303"/>
      <c r="C490" s="303"/>
      <c r="D490" s="303"/>
      <c r="E490" s="303"/>
      <c r="F490" s="303"/>
      <c r="G490" s="325"/>
      <c r="H490" s="303"/>
      <c r="I490" s="303"/>
    </row>
    <row r="491" spans="1:9" x14ac:dyDescent="0.25">
      <c r="A491" s="303"/>
      <c r="B491" s="303"/>
      <c r="C491" s="303"/>
      <c r="D491" s="303"/>
      <c r="E491" s="303"/>
      <c r="F491" s="303"/>
      <c r="G491" s="325"/>
      <c r="H491" s="303"/>
      <c r="I491" s="303"/>
    </row>
    <row r="492" spans="1:9" x14ac:dyDescent="0.25">
      <c r="A492" s="303"/>
      <c r="B492" s="303"/>
      <c r="C492" s="303"/>
      <c r="D492" s="303"/>
      <c r="E492" s="303"/>
      <c r="F492" s="303"/>
      <c r="G492" s="325"/>
      <c r="H492" s="303"/>
      <c r="I492" s="303"/>
    </row>
    <row r="493" spans="1:9" x14ac:dyDescent="0.25">
      <c r="A493" s="303"/>
      <c r="B493" s="303"/>
      <c r="C493" s="303"/>
      <c r="D493" s="303"/>
      <c r="E493" s="303"/>
      <c r="F493" s="303"/>
      <c r="G493" s="325"/>
      <c r="H493" s="303"/>
      <c r="I493" s="303"/>
    </row>
    <row r="494" spans="1:9" x14ac:dyDescent="0.25">
      <c r="A494" s="303"/>
      <c r="B494" s="303"/>
      <c r="C494" s="303"/>
      <c r="D494" s="303"/>
      <c r="E494" s="303"/>
      <c r="F494" s="303"/>
      <c r="G494" s="325"/>
      <c r="H494" s="303"/>
      <c r="I494" s="303"/>
    </row>
    <row r="495" spans="1:9" x14ac:dyDescent="0.25">
      <c r="A495" s="303"/>
      <c r="B495" s="303"/>
      <c r="C495" s="303"/>
      <c r="D495" s="303"/>
      <c r="E495" s="303"/>
      <c r="F495" s="303"/>
      <c r="G495" s="325"/>
      <c r="H495" s="303"/>
      <c r="I495" s="303"/>
    </row>
    <row r="496" spans="1:9" x14ac:dyDescent="0.25">
      <c r="A496" s="303"/>
      <c r="B496" s="303"/>
      <c r="C496" s="303"/>
      <c r="D496" s="303"/>
      <c r="E496" s="303"/>
      <c r="F496" s="303"/>
      <c r="G496" s="325"/>
      <c r="H496" s="303"/>
      <c r="I496" s="303"/>
    </row>
    <row r="497" spans="1:9" x14ac:dyDescent="0.25">
      <c r="A497" s="303"/>
      <c r="B497" s="303"/>
      <c r="C497" s="303"/>
      <c r="D497" s="303"/>
      <c r="E497" s="303"/>
      <c r="F497" s="303"/>
      <c r="G497" s="325"/>
      <c r="H497" s="303"/>
      <c r="I497" s="303"/>
    </row>
    <row r="498" spans="1:9" x14ac:dyDescent="0.25">
      <c r="A498" s="303"/>
      <c r="B498" s="303"/>
      <c r="C498" s="303"/>
      <c r="D498" s="303"/>
      <c r="E498" s="303"/>
      <c r="F498" s="303"/>
      <c r="G498" s="325"/>
      <c r="H498" s="303"/>
      <c r="I498" s="303"/>
    </row>
    <row r="499" spans="1:9" x14ac:dyDescent="0.25">
      <c r="A499" s="303"/>
      <c r="B499" s="303"/>
      <c r="C499" s="303"/>
      <c r="D499" s="303"/>
      <c r="E499" s="303"/>
      <c r="F499" s="303"/>
      <c r="G499" s="325"/>
      <c r="H499" s="303"/>
      <c r="I499" s="303"/>
    </row>
    <row r="500" spans="1:9" x14ac:dyDescent="0.25">
      <c r="A500" s="303"/>
      <c r="B500" s="303"/>
      <c r="C500" s="303"/>
      <c r="D500" s="303"/>
      <c r="E500" s="303"/>
      <c r="F500" s="303"/>
      <c r="G500" s="325"/>
      <c r="H500" s="303"/>
      <c r="I500" s="303"/>
    </row>
    <row r="501" spans="1:9" x14ac:dyDescent="0.25">
      <c r="A501" s="303"/>
      <c r="B501" s="303"/>
      <c r="C501" s="303"/>
      <c r="D501" s="303"/>
      <c r="E501" s="303"/>
      <c r="F501" s="303"/>
      <c r="G501" s="325"/>
      <c r="H501" s="303"/>
      <c r="I501" s="303"/>
    </row>
    <row r="502" spans="1:9" x14ac:dyDescent="0.25">
      <c r="A502" s="303"/>
      <c r="B502" s="303"/>
      <c r="C502" s="303"/>
      <c r="D502" s="303"/>
      <c r="E502" s="303"/>
      <c r="F502" s="303"/>
      <c r="G502" s="325"/>
      <c r="H502" s="303"/>
      <c r="I502" s="303"/>
    </row>
    <row r="503" spans="1:9" x14ac:dyDescent="0.25">
      <c r="A503" s="303"/>
      <c r="B503" s="303"/>
      <c r="C503" s="303"/>
      <c r="D503" s="303"/>
      <c r="E503" s="303"/>
      <c r="F503" s="303"/>
      <c r="G503" s="325"/>
      <c r="H503" s="303"/>
      <c r="I503" s="303"/>
    </row>
    <row r="504" spans="1:9" x14ac:dyDescent="0.25">
      <c r="A504" s="303"/>
      <c r="B504" s="303"/>
      <c r="C504" s="303"/>
      <c r="D504" s="303"/>
      <c r="E504" s="303"/>
      <c r="F504" s="303"/>
      <c r="G504" s="325"/>
      <c r="H504" s="303"/>
      <c r="I504" s="303"/>
    </row>
    <row r="505" spans="1:9" x14ac:dyDescent="0.25">
      <c r="A505" s="303"/>
      <c r="B505" s="303"/>
      <c r="C505" s="303"/>
      <c r="D505" s="303"/>
      <c r="E505" s="303"/>
      <c r="F505" s="303"/>
      <c r="G505" s="325"/>
      <c r="H505" s="303"/>
      <c r="I505" s="303"/>
    </row>
    <row r="506" spans="1:9" x14ac:dyDescent="0.25">
      <c r="A506" s="303"/>
      <c r="B506" s="303"/>
      <c r="C506" s="303"/>
      <c r="D506" s="303"/>
      <c r="E506" s="303"/>
      <c r="F506" s="303"/>
      <c r="G506" s="325"/>
      <c r="H506" s="303"/>
      <c r="I506" s="303"/>
    </row>
    <row r="507" spans="1:9" x14ac:dyDescent="0.25">
      <c r="A507" s="303"/>
      <c r="B507" s="303"/>
      <c r="C507" s="303"/>
      <c r="D507" s="303"/>
      <c r="E507" s="303"/>
      <c r="F507" s="303"/>
      <c r="G507" s="325"/>
      <c r="H507" s="303"/>
      <c r="I507" s="303"/>
    </row>
    <row r="508" spans="1:9" x14ac:dyDescent="0.25">
      <c r="A508" s="303"/>
      <c r="B508" s="303"/>
      <c r="C508" s="303"/>
      <c r="D508" s="303"/>
      <c r="E508" s="303"/>
      <c r="F508" s="303"/>
      <c r="G508" s="325"/>
      <c r="H508" s="303"/>
      <c r="I508" s="303"/>
    </row>
    <row r="509" spans="1:9" x14ac:dyDescent="0.25">
      <c r="A509" s="303"/>
      <c r="B509" s="303"/>
      <c r="C509" s="303"/>
      <c r="D509" s="303"/>
      <c r="E509" s="303"/>
      <c r="F509" s="303"/>
      <c r="G509" s="325"/>
      <c r="H509" s="303"/>
      <c r="I509" s="303"/>
    </row>
    <row r="510" spans="1:9" x14ac:dyDescent="0.25">
      <c r="A510" s="303"/>
      <c r="B510" s="303"/>
      <c r="C510" s="303"/>
      <c r="D510" s="303"/>
      <c r="E510" s="303"/>
      <c r="F510" s="303"/>
      <c r="G510" s="325"/>
      <c r="H510" s="303"/>
      <c r="I510" s="303"/>
    </row>
    <row r="511" spans="1:9" x14ac:dyDescent="0.25">
      <c r="A511" s="303"/>
      <c r="B511" s="303"/>
      <c r="C511" s="303"/>
      <c r="D511" s="303"/>
      <c r="E511" s="303"/>
      <c r="F511" s="303"/>
      <c r="G511" s="325"/>
      <c r="H511" s="303"/>
      <c r="I511" s="303"/>
    </row>
    <row r="512" spans="1:9" x14ac:dyDescent="0.25">
      <c r="A512" s="303"/>
      <c r="B512" s="303"/>
      <c r="C512" s="303"/>
      <c r="D512" s="303"/>
      <c r="E512" s="303"/>
      <c r="F512" s="303"/>
      <c r="G512" s="325"/>
      <c r="H512" s="303"/>
      <c r="I512" s="303"/>
    </row>
    <row r="513" spans="1:9" x14ac:dyDescent="0.25">
      <c r="A513" s="303"/>
      <c r="B513" s="303"/>
      <c r="C513" s="303"/>
      <c r="D513" s="303"/>
      <c r="E513" s="303"/>
      <c r="F513" s="303"/>
      <c r="G513" s="325"/>
      <c r="H513" s="303"/>
      <c r="I513" s="303"/>
    </row>
    <row r="514" spans="1:9" x14ac:dyDescent="0.25">
      <c r="A514" s="303"/>
      <c r="B514" s="303"/>
      <c r="C514" s="303"/>
      <c r="D514" s="303"/>
      <c r="E514" s="303"/>
      <c r="F514" s="303"/>
      <c r="G514" s="325"/>
      <c r="H514" s="303"/>
      <c r="I514" s="303"/>
    </row>
    <row r="515" spans="1:9" x14ac:dyDescent="0.25">
      <c r="A515" s="303"/>
      <c r="B515" s="303"/>
      <c r="C515" s="303"/>
      <c r="D515" s="303"/>
      <c r="E515" s="303"/>
      <c r="F515" s="303"/>
      <c r="G515" s="325"/>
      <c r="H515" s="303"/>
      <c r="I515" s="303"/>
    </row>
    <row r="516" spans="1:9" x14ac:dyDescent="0.25">
      <c r="A516" s="303"/>
      <c r="B516" s="303"/>
      <c r="C516" s="303"/>
      <c r="D516" s="303"/>
      <c r="E516" s="303"/>
      <c r="F516" s="303"/>
      <c r="G516" s="325"/>
      <c r="H516" s="303"/>
      <c r="I516" s="303"/>
    </row>
    <row r="517" spans="1:9" x14ac:dyDescent="0.25">
      <c r="A517" s="303"/>
      <c r="B517" s="303"/>
      <c r="C517" s="303"/>
      <c r="D517" s="303"/>
      <c r="E517" s="303"/>
      <c r="F517" s="303"/>
      <c r="G517" s="325"/>
      <c r="H517" s="303"/>
      <c r="I517" s="303"/>
    </row>
    <row r="518" spans="1:9" x14ac:dyDescent="0.25">
      <c r="A518" s="303"/>
      <c r="B518" s="303"/>
      <c r="C518" s="303"/>
      <c r="D518" s="303"/>
      <c r="E518" s="303"/>
      <c r="F518" s="303"/>
      <c r="G518" s="325"/>
      <c r="H518" s="303"/>
      <c r="I518" s="303"/>
    </row>
    <row r="519" spans="1:9" x14ac:dyDescent="0.25">
      <c r="A519" s="303"/>
      <c r="B519" s="303"/>
      <c r="C519" s="303"/>
      <c r="D519" s="303"/>
      <c r="E519" s="303"/>
      <c r="F519" s="303"/>
      <c r="G519" s="325"/>
      <c r="H519" s="303"/>
      <c r="I519" s="303"/>
    </row>
    <row r="520" spans="1:9" x14ac:dyDescent="0.25">
      <c r="A520" s="303"/>
      <c r="B520" s="303"/>
      <c r="C520" s="303"/>
      <c r="D520" s="303"/>
      <c r="E520" s="303"/>
      <c r="F520" s="303"/>
      <c r="G520" s="325"/>
      <c r="H520" s="303"/>
      <c r="I520" s="303"/>
    </row>
    <row r="521" spans="1:9" x14ac:dyDescent="0.25">
      <c r="A521" s="303"/>
      <c r="B521" s="303"/>
      <c r="C521" s="303"/>
      <c r="D521" s="303"/>
      <c r="E521" s="303"/>
      <c r="F521" s="303"/>
      <c r="G521" s="325"/>
      <c r="H521" s="303"/>
      <c r="I521" s="303"/>
    </row>
    <row r="522" spans="1:9" x14ac:dyDescent="0.25">
      <c r="A522" s="303"/>
      <c r="B522" s="303"/>
      <c r="C522" s="303"/>
      <c r="D522" s="303"/>
      <c r="E522" s="303"/>
      <c r="F522" s="303"/>
      <c r="G522" s="325"/>
      <c r="H522" s="303"/>
      <c r="I522" s="303"/>
    </row>
    <row r="523" spans="1:9" x14ac:dyDescent="0.25">
      <c r="A523" s="303"/>
      <c r="B523" s="303"/>
      <c r="C523" s="303"/>
      <c r="D523" s="303"/>
      <c r="E523" s="303"/>
      <c r="F523" s="303"/>
      <c r="G523" s="325"/>
      <c r="H523" s="303"/>
      <c r="I523" s="303"/>
    </row>
    <row r="524" spans="1:9" x14ac:dyDescent="0.25">
      <c r="A524" s="303"/>
      <c r="B524" s="303"/>
      <c r="C524" s="303"/>
      <c r="D524" s="303"/>
      <c r="E524" s="303"/>
      <c r="F524" s="303"/>
      <c r="G524" s="325"/>
      <c r="H524" s="303"/>
      <c r="I524" s="303"/>
    </row>
    <row r="525" spans="1:9" x14ac:dyDescent="0.25">
      <c r="A525" s="303"/>
      <c r="B525" s="303"/>
      <c r="C525" s="303"/>
      <c r="D525" s="303"/>
      <c r="E525" s="303"/>
      <c r="F525" s="303"/>
      <c r="G525" s="325"/>
      <c r="H525" s="303"/>
      <c r="I525" s="303"/>
    </row>
    <row r="526" spans="1:9" x14ac:dyDescent="0.25">
      <c r="A526" s="303"/>
      <c r="B526" s="303"/>
      <c r="C526" s="303"/>
      <c r="D526" s="303"/>
      <c r="E526" s="303"/>
      <c r="F526" s="303"/>
      <c r="G526" s="325"/>
      <c r="H526" s="303"/>
      <c r="I526" s="303"/>
    </row>
    <row r="527" spans="1:9" x14ac:dyDescent="0.25">
      <c r="A527" s="303"/>
      <c r="B527" s="303"/>
      <c r="C527" s="303"/>
      <c r="D527" s="303"/>
      <c r="E527" s="303"/>
      <c r="F527" s="303"/>
      <c r="G527" s="325"/>
      <c r="H527" s="303"/>
      <c r="I527" s="303"/>
    </row>
    <row r="528" spans="1:9" x14ac:dyDescent="0.25">
      <c r="A528" s="303"/>
      <c r="B528" s="303"/>
      <c r="C528" s="303"/>
      <c r="D528" s="303"/>
      <c r="E528" s="303"/>
      <c r="F528" s="303"/>
      <c r="G528" s="325"/>
      <c r="H528" s="303"/>
      <c r="I528" s="303"/>
    </row>
    <row r="529" spans="1:9" x14ac:dyDescent="0.25">
      <c r="A529" s="303"/>
      <c r="B529" s="303"/>
      <c r="C529" s="303"/>
      <c r="D529" s="303"/>
      <c r="E529" s="303"/>
      <c r="F529" s="303"/>
      <c r="G529" s="325"/>
      <c r="H529" s="303"/>
      <c r="I529" s="303"/>
    </row>
    <row r="530" spans="1:9" x14ac:dyDescent="0.25">
      <c r="A530" s="303"/>
      <c r="B530" s="303"/>
      <c r="C530" s="303"/>
      <c r="D530" s="303"/>
      <c r="E530" s="303"/>
      <c r="F530" s="303"/>
      <c r="G530" s="325"/>
      <c r="H530" s="303"/>
      <c r="I530" s="303"/>
    </row>
    <row r="531" spans="1:9" x14ac:dyDescent="0.25">
      <c r="A531" s="303"/>
      <c r="B531" s="303"/>
      <c r="C531" s="303"/>
      <c r="D531" s="303"/>
      <c r="E531" s="303"/>
      <c r="F531" s="303"/>
      <c r="G531" s="325"/>
      <c r="H531" s="303"/>
      <c r="I531" s="303"/>
    </row>
    <row r="532" spans="1:9" x14ac:dyDescent="0.25">
      <c r="A532" s="303"/>
      <c r="B532" s="303"/>
      <c r="C532" s="303"/>
      <c r="D532" s="303"/>
      <c r="E532" s="303"/>
      <c r="F532" s="303"/>
      <c r="G532" s="325"/>
      <c r="H532" s="303"/>
      <c r="I532" s="303"/>
    </row>
    <row r="533" spans="1:9" x14ac:dyDescent="0.25">
      <c r="A533" s="303"/>
      <c r="B533" s="303"/>
      <c r="C533" s="303"/>
      <c r="D533" s="303"/>
      <c r="E533" s="303"/>
      <c r="F533" s="303"/>
      <c r="G533" s="325"/>
      <c r="H533" s="303"/>
      <c r="I533" s="303"/>
    </row>
    <row r="534" spans="1:9" x14ac:dyDescent="0.25">
      <c r="A534" s="303"/>
      <c r="B534" s="303"/>
      <c r="C534" s="303"/>
      <c r="D534" s="303"/>
      <c r="E534" s="303"/>
      <c r="F534" s="303"/>
      <c r="G534" s="325"/>
      <c r="H534" s="303"/>
      <c r="I534" s="303"/>
    </row>
    <row r="535" spans="1:9" x14ac:dyDescent="0.25">
      <c r="A535" s="303"/>
      <c r="B535" s="303"/>
      <c r="C535" s="303"/>
      <c r="D535" s="303"/>
      <c r="E535" s="303"/>
      <c r="F535" s="303"/>
      <c r="G535" s="325"/>
      <c r="H535" s="303"/>
      <c r="I535" s="303"/>
    </row>
    <row r="536" spans="1:9" x14ac:dyDescent="0.25">
      <c r="A536" s="303"/>
      <c r="B536" s="303"/>
      <c r="C536" s="303"/>
      <c r="D536" s="303"/>
      <c r="E536" s="303"/>
      <c r="F536" s="303"/>
      <c r="G536" s="325"/>
      <c r="H536" s="303"/>
      <c r="I536" s="303"/>
    </row>
    <row r="537" spans="1:9" x14ac:dyDescent="0.25">
      <c r="A537" s="303"/>
      <c r="B537" s="303"/>
      <c r="C537" s="303"/>
      <c r="D537" s="303"/>
      <c r="E537" s="303"/>
      <c r="F537" s="303"/>
      <c r="G537" s="325"/>
      <c r="H537" s="303"/>
      <c r="I537" s="303"/>
    </row>
    <row r="538" spans="1:9" x14ac:dyDescent="0.25">
      <c r="A538" s="303"/>
      <c r="B538" s="303"/>
      <c r="C538" s="303"/>
      <c r="D538" s="303"/>
      <c r="E538" s="303"/>
      <c r="F538" s="303"/>
      <c r="G538" s="325"/>
      <c r="H538" s="303"/>
      <c r="I538" s="303"/>
    </row>
    <row r="539" spans="1:9" x14ac:dyDescent="0.25">
      <c r="A539" s="303"/>
      <c r="B539" s="303"/>
      <c r="C539" s="303"/>
      <c r="D539" s="303"/>
      <c r="E539" s="303"/>
      <c r="F539" s="303"/>
      <c r="G539" s="325"/>
      <c r="H539" s="303"/>
      <c r="I539" s="303"/>
    </row>
    <row r="540" spans="1:9" x14ac:dyDescent="0.25">
      <c r="A540" s="303"/>
      <c r="B540" s="303"/>
      <c r="C540" s="303"/>
      <c r="D540" s="303"/>
      <c r="E540" s="303"/>
      <c r="F540" s="303"/>
      <c r="G540" s="325"/>
      <c r="H540" s="303"/>
      <c r="I540" s="303"/>
    </row>
    <row r="541" spans="1:9" x14ac:dyDescent="0.25">
      <c r="A541" s="303"/>
      <c r="B541" s="303"/>
      <c r="C541" s="303"/>
      <c r="D541" s="303"/>
      <c r="E541" s="303"/>
      <c r="F541" s="303"/>
      <c r="G541" s="325"/>
      <c r="H541" s="303"/>
      <c r="I541" s="303"/>
    </row>
    <row r="542" spans="1:9" x14ac:dyDescent="0.25">
      <c r="A542" s="303"/>
      <c r="B542" s="303"/>
      <c r="C542" s="303"/>
      <c r="D542" s="303"/>
      <c r="E542" s="303"/>
      <c r="F542" s="303"/>
      <c r="G542" s="325"/>
      <c r="H542" s="303"/>
      <c r="I542" s="303"/>
    </row>
    <row r="543" spans="1:9" x14ac:dyDescent="0.25">
      <c r="A543" s="303"/>
      <c r="B543" s="303"/>
      <c r="C543" s="303"/>
      <c r="D543" s="303"/>
      <c r="E543" s="303"/>
      <c r="F543" s="303"/>
      <c r="G543" s="325"/>
      <c r="H543" s="303"/>
      <c r="I543" s="303"/>
    </row>
    <row r="544" spans="1:9" x14ac:dyDescent="0.25">
      <c r="A544" s="303"/>
      <c r="B544" s="303"/>
      <c r="C544" s="303"/>
      <c r="D544" s="303"/>
      <c r="E544" s="303"/>
      <c r="F544" s="303"/>
      <c r="G544" s="325"/>
      <c r="H544" s="303"/>
      <c r="I544" s="303"/>
    </row>
    <row r="545" spans="1:9" x14ac:dyDescent="0.25">
      <c r="A545" s="303"/>
      <c r="B545" s="303"/>
      <c r="C545" s="303"/>
      <c r="D545" s="303"/>
      <c r="E545" s="303"/>
      <c r="F545" s="303"/>
      <c r="G545" s="325"/>
      <c r="H545" s="303"/>
      <c r="I545" s="303"/>
    </row>
    <row r="546" spans="1:9" x14ac:dyDescent="0.25">
      <c r="A546" s="303"/>
      <c r="B546" s="303"/>
      <c r="C546" s="303"/>
      <c r="D546" s="303"/>
      <c r="E546" s="303"/>
      <c r="F546" s="303"/>
      <c r="G546" s="325"/>
      <c r="H546" s="303"/>
      <c r="I546" s="303"/>
    </row>
    <row r="547" spans="1:9" x14ac:dyDescent="0.25">
      <c r="A547" s="303"/>
      <c r="B547" s="303"/>
      <c r="C547" s="303"/>
      <c r="D547" s="303"/>
      <c r="E547" s="303"/>
      <c r="F547" s="303"/>
      <c r="G547" s="325"/>
      <c r="H547" s="303"/>
      <c r="I547" s="303"/>
    </row>
    <row r="548" spans="1:9" x14ac:dyDescent="0.25">
      <c r="A548" s="303"/>
      <c r="B548" s="303"/>
      <c r="C548" s="303"/>
      <c r="D548" s="303"/>
      <c r="E548" s="303"/>
      <c r="F548" s="303"/>
      <c r="G548" s="325"/>
      <c r="H548" s="303"/>
      <c r="I548" s="303"/>
    </row>
    <row r="549" spans="1:9" x14ac:dyDescent="0.25">
      <c r="A549" s="303"/>
      <c r="B549" s="303"/>
      <c r="C549" s="303"/>
      <c r="D549" s="303"/>
      <c r="E549" s="303"/>
      <c r="F549" s="303"/>
      <c r="G549" s="325"/>
      <c r="H549" s="303"/>
      <c r="I549" s="303"/>
    </row>
    <row r="550" spans="1:9" x14ac:dyDescent="0.25">
      <c r="A550" s="303"/>
      <c r="B550" s="303"/>
      <c r="C550" s="303"/>
      <c r="D550" s="303"/>
      <c r="E550" s="303"/>
      <c r="F550" s="303"/>
      <c r="G550" s="325"/>
      <c r="H550" s="303"/>
      <c r="I550" s="303"/>
    </row>
    <row r="551" spans="1:9" x14ac:dyDescent="0.25">
      <c r="A551" s="303"/>
      <c r="B551" s="303"/>
      <c r="C551" s="303"/>
      <c r="D551" s="303"/>
      <c r="E551" s="303"/>
      <c r="F551" s="303"/>
      <c r="G551" s="325"/>
      <c r="H551" s="303"/>
      <c r="I551" s="303"/>
    </row>
    <row r="552" spans="1:9" x14ac:dyDescent="0.25">
      <c r="A552" s="303"/>
      <c r="B552" s="303"/>
      <c r="C552" s="303"/>
      <c r="D552" s="303"/>
      <c r="E552" s="303"/>
      <c r="F552" s="303"/>
      <c r="G552" s="325"/>
      <c r="H552" s="303"/>
      <c r="I552" s="303"/>
    </row>
    <row r="553" spans="1:9" x14ac:dyDescent="0.25">
      <c r="A553" s="303"/>
      <c r="B553" s="303"/>
      <c r="C553" s="303"/>
      <c r="D553" s="303"/>
      <c r="E553" s="303"/>
      <c r="F553" s="303"/>
      <c r="G553" s="325"/>
      <c r="H553" s="303"/>
      <c r="I553" s="303"/>
    </row>
    <row r="554" spans="1:9" x14ac:dyDescent="0.25">
      <c r="A554" s="303"/>
      <c r="B554" s="303"/>
      <c r="C554" s="303"/>
      <c r="D554" s="303"/>
      <c r="E554" s="303"/>
      <c r="F554" s="303"/>
      <c r="G554" s="325"/>
      <c r="H554" s="303"/>
      <c r="I554" s="303"/>
    </row>
    <row r="555" spans="1:9" x14ac:dyDescent="0.25">
      <c r="A555" s="303"/>
      <c r="B555" s="303"/>
      <c r="C555" s="303"/>
      <c r="D555" s="303"/>
      <c r="E555" s="303"/>
      <c r="F555" s="303"/>
      <c r="G555" s="325"/>
      <c r="H555" s="303"/>
      <c r="I555" s="303"/>
    </row>
    <row r="556" spans="1:9" x14ac:dyDescent="0.25">
      <c r="A556" s="303"/>
      <c r="B556" s="303"/>
      <c r="C556" s="303"/>
      <c r="D556" s="303"/>
      <c r="E556" s="303"/>
      <c r="F556" s="303"/>
      <c r="G556" s="325"/>
      <c r="H556" s="303"/>
      <c r="I556" s="303"/>
    </row>
    <row r="557" spans="1:9" x14ac:dyDescent="0.25">
      <c r="A557" s="303"/>
      <c r="B557" s="303"/>
      <c r="C557" s="303"/>
      <c r="D557" s="303"/>
      <c r="E557" s="303"/>
      <c r="F557" s="303"/>
      <c r="G557" s="325"/>
      <c r="H557" s="303"/>
      <c r="I557" s="303"/>
    </row>
    <row r="558" spans="1:9" x14ac:dyDescent="0.25">
      <c r="A558" s="303"/>
      <c r="B558" s="303"/>
      <c r="C558" s="303"/>
      <c r="D558" s="303"/>
      <c r="E558" s="303"/>
      <c r="F558" s="303"/>
      <c r="G558" s="325"/>
      <c r="H558" s="303"/>
      <c r="I558" s="303"/>
    </row>
    <row r="559" spans="1:9" x14ac:dyDescent="0.25">
      <c r="A559" s="303"/>
      <c r="B559" s="303"/>
      <c r="C559" s="303"/>
      <c r="D559" s="303"/>
      <c r="E559" s="303"/>
      <c r="F559" s="303"/>
      <c r="G559" s="325"/>
      <c r="H559" s="303"/>
      <c r="I559" s="303"/>
    </row>
    <row r="560" spans="1:9" x14ac:dyDescent="0.25">
      <c r="A560" s="303"/>
      <c r="B560" s="303"/>
      <c r="C560" s="303"/>
      <c r="D560" s="303"/>
      <c r="E560" s="303"/>
      <c r="F560" s="303"/>
      <c r="G560" s="325"/>
      <c r="H560" s="303"/>
      <c r="I560" s="303"/>
    </row>
    <row r="561" spans="1:9" x14ac:dyDescent="0.25">
      <c r="A561" s="303"/>
      <c r="B561" s="303"/>
      <c r="C561" s="303"/>
      <c r="D561" s="303"/>
      <c r="E561" s="303"/>
      <c r="F561" s="303"/>
      <c r="G561" s="325"/>
      <c r="H561" s="303"/>
      <c r="I561" s="303"/>
    </row>
    <row r="562" spans="1:9" x14ac:dyDescent="0.25">
      <c r="A562" s="303"/>
      <c r="B562" s="303"/>
      <c r="C562" s="303"/>
      <c r="D562" s="303"/>
      <c r="E562" s="303"/>
      <c r="F562" s="303"/>
      <c r="G562" s="325"/>
      <c r="H562" s="303"/>
      <c r="I562" s="303"/>
    </row>
    <row r="563" spans="1:9" x14ac:dyDescent="0.25">
      <c r="A563" s="303"/>
      <c r="B563" s="303"/>
      <c r="C563" s="303"/>
      <c r="D563" s="303"/>
      <c r="E563" s="303"/>
      <c r="F563" s="303"/>
      <c r="G563" s="325"/>
      <c r="H563" s="303"/>
      <c r="I563" s="303"/>
    </row>
    <row r="564" spans="1:9" x14ac:dyDescent="0.25">
      <c r="A564" s="303"/>
      <c r="B564" s="303"/>
      <c r="C564" s="303"/>
      <c r="D564" s="303"/>
      <c r="E564" s="303"/>
      <c r="F564" s="303"/>
      <c r="G564" s="325"/>
      <c r="H564" s="303"/>
      <c r="I564" s="303"/>
    </row>
    <row r="565" spans="1:9" x14ac:dyDescent="0.25">
      <c r="A565" s="303"/>
      <c r="B565" s="303"/>
      <c r="C565" s="303"/>
      <c r="D565" s="303"/>
      <c r="E565" s="303"/>
      <c r="F565" s="303"/>
      <c r="G565" s="325"/>
      <c r="H565" s="303"/>
      <c r="I565" s="303"/>
    </row>
    <row r="566" spans="1:9" x14ac:dyDescent="0.25">
      <c r="A566" s="303"/>
      <c r="B566" s="303"/>
      <c r="C566" s="303"/>
      <c r="D566" s="303"/>
      <c r="E566" s="303"/>
      <c r="F566" s="303"/>
      <c r="G566" s="325"/>
      <c r="H566" s="303"/>
      <c r="I566" s="303"/>
    </row>
    <row r="567" spans="1:9" x14ac:dyDescent="0.25">
      <c r="A567" s="303"/>
      <c r="B567" s="303"/>
      <c r="C567" s="303"/>
      <c r="D567" s="303"/>
      <c r="E567" s="303"/>
      <c r="F567" s="303"/>
      <c r="G567" s="325"/>
      <c r="H567" s="303"/>
      <c r="I567" s="303"/>
    </row>
    <row r="568" spans="1:9" x14ac:dyDescent="0.25">
      <c r="A568" s="303"/>
      <c r="B568" s="303"/>
      <c r="C568" s="303"/>
      <c r="D568" s="303"/>
      <c r="E568" s="303"/>
      <c r="F568" s="303"/>
      <c r="G568" s="325"/>
      <c r="H568" s="303"/>
      <c r="I568" s="303"/>
    </row>
    <row r="569" spans="1:9" x14ac:dyDescent="0.25">
      <c r="A569" s="303"/>
      <c r="B569" s="303"/>
      <c r="C569" s="303"/>
      <c r="D569" s="303"/>
      <c r="E569" s="303"/>
      <c r="F569" s="303"/>
      <c r="G569" s="325"/>
      <c r="H569" s="303"/>
      <c r="I569" s="303"/>
    </row>
    <row r="570" spans="1:9" x14ac:dyDescent="0.25">
      <c r="A570" s="303"/>
      <c r="B570" s="303"/>
      <c r="C570" s="303"/>
      <c r="D570" s="303"/>
      <c r="E570" s="303"/>
      <c r="F570" s="303"/>
      <c r="G570" s="325"/>
      <c r="H570" s="303"/>
      <c r="I570" s="303"/>
    </row>
    <row r="571" spans="1:9" x14ac:dyDescent="0.25">
      <c r="A571" s="303"/>
      <c r="B571" s="303"/>
      <c r="C571" s="303"/>
      <c r="D571" s="303"/>
      <c r="E571" s="303"/>
      <c r="F571" s="303"/>
      <c r="G571" s="325"/>
      <c r="H571" s="303"/>
      <c r="I571" s="303"/>
    </row>
    <row r="572" spans="1:9" x14ac:dyDescent="0.25">
      <c r="A572" s="303"/>
      <c r="B572" s="303"/>
      <c r="C572" s="303"/>
      <c r="D572" s="303"/>
      <c r="E572" s="303"/>
      <c r="F572" s="303"/>
      <c r="G572" s="325"/>
      <c r="H572" s="303"/>
      <c r="I572" s="303"/>
    </row>
    <row r="573" spans="1:9" x14ac:dyDescent="0.25">
      <c r="A573" s="303"/>
      <c r="B573" s="303"/>
      <c r="C573" s="303"/>
      <c r="D573" s="303"/>
      <c r="E573" s="303"/>
      <c r="F573" s="303"/>
      <c r="G573" s="325"/>
      <c r="H573" s="303"/>
      <c r="I573" s="303"/>
    </row>
    <row r="574" spans="1:9" x14ac:dyDescent="0.25">
      <c r="A574" s="303"/>
      <c r="B574" s="303"/>
      <c r="C574" s="303"/>
      <c r="D574" s="303"/>
      <c r="E574" s="303"/>
      <c r="F574" s="303"/>
      <c r="G574" s="325"/>
      <c r="H574" s="303"/>
      <c r="I574" s="303"/>
    </row>
    <row r="575" spans="1:9" x14ac:dyDescent="0.25">
      <c r="A575" s="303"/>
      <c r="B575" s="303"/>
      <c r="C575" s="303"/>
      <c r="D575" s="303"/>
      <c r="E575" s="303"/>
      <c r="F575" s="303"/>
      <c r="G575" s="325"/>
      <c r="H575" s="303"/>
      <c r="I575" s="303"/>
    </row>
    <row r="576" spans="1:9" x14ac:dyDescent="0.25">
      <c r="A576" s="303"/>
      <c r="B576" s="303"/>
      <c r="C576" s="303"/>
      <c r="D576" s="303"/>
      <c r="E576" s="303"/>
      <c r="F576" s="303"/>
      <c r="G576" s="325"/>
      <c r="H576" s="303"/>
      <c r="I576" s="303"/>
    </row>
    <row r="577" spans="1:9" x14ac:dyDescent="0.25">
      <c r="A577" s="303"/>
      <c r="B577" s="303"/>
      <c r="C577" s="303"/>
      <c r="D577" s="303"/>
      <c r="E577" s="303"/>
      <c r="F577" s="303"/>
      <c r="G577" s="325"/>
      <c r="H577" s="303"/>
      <c r="I577" s="303"/>
    </row>
    <row r="578" spans="1:9" x14ac:dyDescent="0.25">
      <c r="A578" s="303"/>
      <c r="B578" s="303"/>
      <c r="C578" s="303"/>
      <c r="D578" s="303"/>
      <c r="E578" s="303"/>
      <c r="F578" s="303"/>
      <c r="G578" s="325"/>
      <c r="H578" s="303"/>
      <c r="I578" s="303"/>
    </row>
    <row r="579" spans="1:9" x14ac:dyDescent="0.25">
      <c r="A579" s="303"/>
      <c r="B579" s="303"/>
      <c r="C579" s="303"/>
      <c r="D579" s="303"/>
      <c r="E579" s="303"/>
      <c r="F579" s="303"/>
      <c r="G579" s="325"/>
      <c r="H579" s="303"/>
      <c r="I579" s="303"/>
    </row>
    <row r="580" spans="1:9" x14ac:dyDescent="0.25">
      <c r="A580" s="303"/>
      <c r="B580" s="303"/>
      <c r="C580" s="303"/>
      <c r="D580" s="303"/>
      <c r="E580" s="303"/>
      <c r="F580" s="303"/>
      <c r="G580" s="325"/>
      <c r="H580" s="303"/>
      <c r="I580" s="303"/>
    </row>
    <row r="581" spans="1:9" x14ac:dyDescent="0.25">
      <c r="A581" s="303"/>
      <c r="B581" s="303"/>
      <c r="C581" s="303"/>
      <c r="D581" s="303"/>
      <c r="E581" s="303"/>
      <c r="F581" s="303"/>
      <c r="G581" s="325"/>
      <c r="H581" s="303"/>
      <c r="I581" s="303"/>
    </row>
    <row r="582" spans="1:9" x14ac:dyDescent="0.25">
      <c r="A582" s="303"/>
      <c r="B582" s="303"/>
      <c r="C582" s="303"/>
      <c r="D582" s="303"/>
      <c r="E582" s="303"/>
      <c r="F582" s="303"/>
      <c r="G582" s="325"/>
      <c r="H582" s="303"/>
      <c r="I582" s="303"/>
    </row>
    <row r="583" spans="1:9" x14ac:dyDescent="0.25">
      <c r="A583" s="303"/>
      <c r="B583" s="303"/>
      <c r="C583" s="303"/>
      <c r="D583" s="303"/>
      <c r="E583" s="303"/>
      <c r="F583" s="303"/>
      <c r="G583" s="325"/>
      <c r="H583" s="303"/>
      <c r="I583" s="303"/>
    </row>
    <row r="584" spans="1:9" x14ac:dyDescent="0.25">
      <c r="A584" s="303"/>
      <c r="B584" s="303"/>
      <c r="C584" s="303"/>
      <c r="D584" s="303"/>
      <c r="E584" s="303"/>
      <c r="F584" s="303"/>
      <c r="G584" s="325"/>
      <c r="H584" s="303"/>
      <c r="I584" s="303"/>
    </row>
    <row r="585" spans="1:9" x14ac:dyDescent="0.25">
      <c r="A585" s="303"/>
      <c r="B585" s="303"/>
      <c r="C585" s="303"/>
      <c r="D585" s="303"/>
      <c r="E585" s="303"/>
      <c r="F585" s="303"/>
      <c r="G585" s="325"/>
      <c r="H585" s="303"/>
      <c r="I585" s="303"/>
    </row>
    <row r="586" spans="1:9" x14ac:dyDescent="0.25">
      <c r="A586" s="303"/>
      <c r="B586" s="303"/>
      <c r="C586" s="303"/>
      <c r="D586" s="303"/>
      <c r="E586" s="303"/>
      <c r="F586" s="303"/>
      <c r="G586" s="325"/>
      <c r="H586" s="303"/>
      <c r="I586" s="303"/>
    </row>
    <row r="587" spans="1:9" x14ac:dyDescent="0.25">
      <c r="A587" s="303"/>
      <c r="B587" s="303"/>
      <c r="C587" s="303"/>
      <c r="D587" s="303"/>
      <c r="E587" s="303"/>
      <c r="F587" s="303"/>
      <c r="G587" s="325"/>
      <c r="H587" s="303"/>
      <c r="I587" s="303"/>
    </row>
    <row r="588" spans="1:9" x14ac:dyDescent="0.25">
      <c r="A588" s="303"/>
      <c r="B588" s="303"/>
      <c r="C588" s="303"/>
      <c r="D588" s="303"/>
      <c r="E588" s="303"/>
      <c r="F588" s="303"/>
      <c r="G588" s="325"/>
      <c r="H588" s="303"/>
      <c r="I588" s="303"/>
    </row>
    <row r="589" spans="1:9" x14ac:dyDescent="0.25">
      <c r="A589" s="303"/>
      <c r="B589" s="303"/>
      <c r="C589" s="303"/>
      <c r="D589" s="303"/>
      <c r="E589" s="303"/>
      <c r="F589" s="303"/>
      <c r="G589" s="325"/>
      <c r="H589" s="303"/>
      <c r="I589" s="303"/>
    </row>
    <row r="590" spans="1:9" x14ac:dyDescent="0.25">
      <c r="A590" s="303"/>
      <c r="B590" s="303"/>
      <c r="C590" s="303"/>
      <c r="D590" s="303"/>
      <c r="E590" s="303"/>
      <c r="F590" s="303"/>
      <c r="G590" s="325"/>
      <c r="H590" s="303"/>
      <c r="I590" s="303"/>
    </row>
    <row r="591" spans="1:9" x14ac:dyDescent="0.25">
      <c r="A591" s="303"/>
      <c r="B591" s="303"/>
      <c r="C591" s="303"/>
      <c r="D591" s="303"/>
      <c r="E591" s="303"/>
      <c r="F591" s="303"/>
      <c r="G591" s="325"/>
      <c r="H591" s="303"/>
      <c r="I591" s="303"/>
    </row>
    <row r="592" spans="1:9" x14ac:dyDescent="0.25">
      <c r="A592" s="303"/>
      <c r="B592" s="303"/>
      <c r="C592" s="303"/>
      <c r="D592" s="303"/>
      <c r="E592" s="303"/>
      <c r="F592" s="303"/>
      <c r="G592" s="325"/>
      <c r="H592" s="303"/>
      <c r="I592" s="303"/>
    </row>
    <row r="593" spans="1:9" x14ac:dyDescent="0.25">
      <c r="A593" s="303"/>
      <c r="B593" s="303"/>
      <c r="C593" s="303"/>
      <c r="D593" s="303"/>
      <c r="E593" s="303"/>
      <c r="F593" s="303"/>
      <c r="G593" s="325"/>
      <c r="H593" s="303"/>
      <c r="I593" s="303"/>
    </row>
    <row r="594" spans="1:9" x14ac:dyDescent="0.25">
      <c r="A594" s="303"/>
      <c r="B594" s="303"/>
      <c r="C594" s="303"/>
      <c r="D594" s="303"/>
      <c r="E594" s="303"/>
      <c r="F594" s="303"/>
      <c r="G594" s="325"/>
      <c r="H594" s="303"/>
      <c r="I594" s="303"/>
    </row>
    <row r="595" spans="1:9" x14ac:dyDescent="0.25">
      <c r="A595" s="303"/>
      <c r="B595" s="303"/>
      <c r="C595" s="303"/>
      <c r="D595" s="303"/>
      <c r="E595" s="303"/>
      <c r="F595" s="303"/>
      <c r="G595" s="325"/>
      <c r="H595" s="303"/>
      <c r="I595" s="303"/>
    </row>
    <row r="596" spans="1:9" x14ac:dyDescent="0.25">
      <c r="A596" s="303"/>
      <c r="B596" s="303"/>
      <c r="C596" s="303"/>
      <c r="D596" s="303"/>
      <c r="E596" s="303"/>
      <c r="F596" s="303"/>
      <c r="G596" s="325"/>
      <c r="H596" s="303"/>
      <c r="I596" s="303"/>
    </row>
    <row r="597" spans="1:9" x14ac:dyDescent="0.25">
      <c r="A597" s="303"/>
      <c r="B597" s="303"/>
      <c r="C597" s="303"/>
      <c r="D597" s="303"/>
      <c r="E597" s="303"/>
      <c r="F597" s="303"/>
      <c r="G597" s="325"/>
      <c r="H597" s="303"/>
      <c r="I597" s="303"/>
    </row>
    <row r="598" spans="1:9" x14ac:dyDescent="0.25">
      <c r="A598" s="303"/>
      <c r="B598" s="303"/>
      <c r="C598" s="303"/>
      <c r="D598" s="303"/>
      <c r="E598" s="303"/>
      <c r="F598" s="303"/>
      <c r="G598" s="325"/>
      <c r="H598" s="303"/>
      <c r="I598" s="303"/>
    </row>
    <row r="599" spans="1:9" x14ac:dyDescent="0.25">
      <c r="A599" s="303"/>
      <c r="B599" s="303"/>
      <c r="C599" s="303"/>
      <c r="D599" s="303"/>
      <c r="E599" s="303"/>
      <c r="F599" s="303"/>
      <c r="G599" s="325"/>
      <c r="H599" s="303"/>
      <c r="I599" s="303"/>
    </row>
    <row r="600" spans="1:9" x14ac:dyDescent="0.25">
      <c r="A600" s="303"/>
      <c r="B600" s="303"/>
      <c r="C600" s="303"/>
      <c r="D600" s="303"/>
      <c r="E600" s="303"/>
      <c r="F600" s="303"/>
      <c r="G600" s="325"/>
      <c r="H600" s="303"/>
      <c r="I600" s="303"/>
    </row>
    <row r="601" spans="1:9" x14ac:dyDescent="0.25">
      <c r="A601" s="303"/>
      <c r="B601" s="303"/>
      <c r="C601" s="303"/>
      <c r="D601" s="303"/>
      <c r="E601" s="303"/>
      <c r="F601" s="303"/>
      <c r="G601" s="325"/>
      <c r="H601" s="303"/>
      <c r="I601" s="303"/>
    </row>
    <row r="602" spans="1:9" x14ac:dyDescent="0.25">
      <c r="A602" s="303"/>
      <c r="B602" s="303"/>
      <c r="C602" s="303"/>
      <c r="D602" s="303"/>
      <c r="E602" s="303"/>
      <c r="F602" s="303"/>
      <c r="G602" s="325"/>
      <c r="H602" s="303"/>
      <c r="I602" s="303"/>
    </row>
    <row r="603" spans="1:9" x14ac:dyDescent="0.25">
      <c r="A603" s="303"/>
      <c r="B603" s="303"/>
      <c r="C603" s="303"/>
      <c r="D603" s="303"/>
      <c r="E603" s="303"/>
      <c r="F603" s="303"/>
      <c r="G603" s="325"/>
      <c r="H603" s="303"/>
      <c r="I603" s="303"/>
    </row>
    <row r="604" spans="1:9" x14ac:dyDescent="0.25">
      <c r="A604" s="303"/>
      <c r="B604" s="303"/>
      <c r="C604" s="303"/>
      <c r="D604" s="303"/>
      <c r="E604" s="303"/>
      <c r="F604" s="303"/>
      <c r="G604" s="325"/>
      <c r="H604" s="303"/>
      <c r="I604" s="303"/>
    </row>
    <row r="605" spans="1:9" x14ac:dyDescent="0.25">
      <c r="A605" s="303"/>
      <c r="B605" s="303"/>
      <c r="C605" s="303"/>
      <c r="D605" s="303"/>
      <c r="E605" s="303"/>
      <c r="F605" s="303"/>
      <c r="G605" s="325"/>
      <c r="H605" s="303"/>
      <c r="I605" s="303"/>
    </row>
    <row r="606" spans="1:9" x14ac:dyDescent="0.25">
      <c r="A606" s="303"/>
      <c r="B606" s="303"/>
      <c r="C606" s="303"/>
      <c r="D606" s="303"/>
      <c r="E606" s="303"/>
      <c r="F606" s="303"/>
      <c r="G606" s="325"/>
      <c r="H606" s="303"/>
      <c r="I606" s="303"/>
    </row>
    <row r="607" spans="1:9" x14ac:dyDescent="0.25">
      <c r="A607" s="303"/>
      <c r="B607" s="303"/>
      <c r="C607" s="303"/>
      <c r="D607" s="303"/>
      <c r="E607" s="303"/>
      <c r="F607" s="303"/>
      <c r="G607" s="325"/>
      <c r="H607" s="303"/>
      <c r="I607" s="303"/>
    </row>
    <row r="608" spans="1:9" x14ac:dyDescent="0.25">
      <c r="A608" s="303"/>
      <c r="B608" s="303"/>
      <c r="C608" s="303"/>
      <c r="D608" s="303"/>
      <c r="E608" s="303"/>
      <c r="F608" s="303"/>
      <c r="G608" s="325"/>
      <c r="H608" s="303"/>
      <c r="I608" s="303"/>
    </row>
    <row r="609" spans="1:9" x14ac:dyDescent="0.25">
      <c r="A609" s="303"/>
      <c r="B609" s="303"/>
      <c r="C609" s="303"/>
      <c r="D609" s="303"/>
      <c r="E609" s="303"/>
      <c r="F609" s="303"/>
      <c r="G609" s="325"/>
      <c r="H609" s="303"/>
      <c r="I609" s="303"/>
    </row>
    <row r="610" spans="1:9" x14ac:dyDescent="0.25">
      <c r="A610" s="303"/>
      <c r="B610" s="303"/>
      <c r="C610" s="303"/>
      <c r="D610" s="303"/>
      <c r="E610" s="303"/>
      <c r="F610" s="303"/>
      <c r="G610" s="325"/>
      <c r="H610" s="303"/>
      <c r="I610" s="303"/>
    </row>
    <row r="611" spans="1:9" x14ac:dyDescent="0.25">
      <c r="A611" s="303"/>
      <c r="B611" s="303"/>
      <c r="C611" s="303"/>
      <c r="D611" s="303"/>
      <c r="E611" s="303"/>
      <c r="F611" s="303"/>
      <c r="G611" s="325"/>
      <c r="H611" s="303"/>
      <c r="I611" s="303"/>
    </row>
    <row r="612" spans="1:9" x14ac:dyDescent="0.25">
      <c r="A612" s="303"/>
      <c r="B612" s="303"/>
      <c r="C612" s="303"/>
      <c r="D612" s="303"/>
      <c r="E612" s="303"/>
      <c r="F612" s="303"/>
      <c r="G612" s="325"/>
      <c r="H612" s="303"/>
      <c r="I612" s="303"/>
    </row>
    <row r="613" spans="1:9" x14ac:dyDescent="0.25">
      <c r="A613" s="303"/>
      <c r="B613" s="303"/>
      <c r="C613" s="303"/>
      <c r="D613" s="303"/>
      <c r="E613" s="303"/>
      <c r="F613" s="303"/>
      <c r="G613" s="325"/>
      <c r="H613" s="303"/>
      <c r="I613" s="303"/>
    </row>
    <row r="614" spans="1:9" x14ac:dyDescent="0.25">
      <c r="A614" s="303"/>
      <c r="B614" s="303"/>
      <c r="C614" s="303"/>
      <c r="D614" s="303"/>
      <c r="E614" s="303"/>
      <c r="F614" s="303"/>
      <c r="G614" s="325"/>
      <c r="H614" s="303"/>
      <c r="I614" s="303"/>
    </row>
    <row r="615" spans="1:9" x14ac:dyDescent="0.25">
      <c r="A615" s="303"/>
      <c r="B615" s="303"/>
      <c r="C615" s="303"/>
      <c r="D615" s="303"/>
      <c r="E615" s="303"/>
      <c r="F615" s="303"/>
      <c r="G615" s="325"/>
      <c r="H615" s="303"/>
      <c r="I615" s="303"/>
    </row>
    <row r="616" spans="1:9" x14ac:dyDescent="0.25">
      <c r="A616" s="303"/>
      <c r="B616" s="303"/>
      <c r="C616" s="303"/>
      <c r="D616" s="303"/>
      <c r="E616" s="303"/>
      <c r="F616" s="303"/>
      <c r="G616" s="325"/>
      <c r="H616" s="303"/>
      <c r="I616" s="303"/>
    </row>
    <row r="617" spans="1:9" x14ac:dyDescent="0.25">
      <c r="A617" s="303"/>
      <c r="B617" s="303"/>
      <c r="C617" s="303"/>
      <c r="D617" s="303"/>
      <c r="E617" s="303"/>
      <c r="F617" s="303"/>
      <c r="G617" s="325"/>
      <c r="H617" s="303"/>
      <c r="I617" s="303"/>
    </row>
    <row r="618" spans="1:9" x14ac:dyDescent="0.25">
      <c r="A618" s="303"/>
      <c r="B618" s="303"/>
      <c r="C618" s="303"/>
      <c r="D618" s="303"/>
      <c r="E618" s="303"/>
      <c r="F618" s="303"/>
      <c r="G618" s="325"/>
      <c r="H618" s="303"/>
      <c r="I618" s="303"/>
    </row>
    <row r="619" spans="1:9" x14ac:dyDescent="0.25">
      <c r="A619" s="303"/>
      <c r="B619" s="303"/>
      <c r="C619" s="303"/>
      <c r="D619" s="303"/>
      <c r="E619" s="303"/>
      <c r="F619" s="303"/>
      <c r="G619" s="325"/>
      <c r="H619" s="303"/>
      <c r="I619" s="303"/>
    </row>
    <row r="620" spans="1:9" x14ac:dyDescent="0.25">
      <c r="A620" s="303"/>
      <c r="B620" s="303"/>
      <c r="C620" s="303"/>
      <c r="D620" s="303"/>
      <c r="E620" s="303"/>
      <c r="F620" s="303"/>
      <c r="G620" s="325"/>
      <c r="H620" s="303"/>
      <c r="I620" s="303"/>
    </row>
    <row r="621" spans="1:9" x14ac:dyDescent="0.25">
      <c r="A621" s="303"/>
      <c r="B621" s="303"/>
      <c r="C621" s="303"/>
      <c r="D621" s="303"/>
      <c r="E621" s="303"/>
      <c r="F621" s="303"/>
      <c r="G621" s="325"/>
      <c r="H621" s="303"/>
      <c r="I621" s="303"/>
    </row>
    <row r="622" spans="1:9" x14ac:dyDescent="0.25">
      <c r="A622" s="303"/>
      <c r="B622" s="303"/>
      <c r="C622" s="303"/>
      <c r="D622" s="303"/>
      <c r="E622" s="303"/>
      <c r="F622" s="303"/>
      <c r="G622" s="325"/>
      <c r="H622" s="303"/>
      <c r="I622" s="303"/>
    </row>
    <row r="623" spans="1:9" x14ac:dyDescent="0.25">
      <c r="A623" s="303"/>
      <c r="B623" s="303"/>
      <c r="C623" s="303"/>
      <c r="D623" s="303"/>
      <c r="E623" s="303"/>
      <c r="F623" s="303"/>
      <c r="G623" s="325"/>
      <c r="H623" s="303"/>
      <c r="I623" s="303"/>
    </row>
    <row r="624" spans="1:9" x14ac:dyDescent="0.25">
      <c r="A624" s="303"/>
      <c r="B624" s="303"/>
      <c r="C624" s="303"/>
      <c r="D624" s="303"/>
      <c r="E624" s="303"/>
      <c r="F624" s="303"/>
      <c r="G624" s="325"/>
      <c r="H624" s="303"/>
      <c r="I624" s="303"/>
    </row>
    <row r="625" spans="1:9" x14ac:dyDescent="0.25">
      <c r="A625" s="303"/>
      <c r="B625" s="303"/>
      <c r="C625" s="303"/>
      <c r="D625" s="303"/>
      <c r="E625" s="303"/>
      <c r="F625" s="303"/>
      <c r="G625" s="325"/>
      <c r="H625" s="303"/>
      <c r="I625" s="303"/>
    </row>
    <row r="626" spans="1:9" x14ac:dyDescent="0.25">
      <c r="A626" s="303"/>
      <c r="B626" s="303"/>
      <c r="C626" s="303"/>
      <c r="D626" s="303"/>
      <c r="E626" s="303"/>
      <c r="F626" s="303"/>
      <c r="G626" s="325"/>
      <c r="H626" s="303"/>
      <c r="I626" s="303"/>
    </row>
    <row r="627" spans="1:9" x14ac:dyDescent="0.25">
      <c r="A627" s="303"/>
      <c r="B627" s="303"/>
      <c r="C627" s="303"/>
      <c r="D627" s="303"/>
      <c r="E627" s="303"/>
      <c r="F627" s="303"/>
      <c r="G627" s="325"/>
      <c r="H627" s="303"/>
      <c r="I627" s="303"/>
    </row>
    <row r="628" spans="1:9" x14ac:dyDescent="0.25">
      <c r="A628" s="303"/>
      <c r="B628" s="303"/>
      <c r="C628" s="303"/>
      <c r="D628" s="303"/>
      <c r="E628" s="303"/>
      <c r="F628" s="303"/>
      <c r="G628" s="325"/>
      <c r="H628" s="303"/>
      <c r="I628" s="303"/>
    </row>
    <row r="629" spans="1:9" x14ac:dyDescent="0.25">
      <c r="A629" s="303"/>
      <c r="B629" s="303"/>
      <c r="C629" s="303"/>
      <c r="D629" s="303"/>
      <c r="E629" s="303"/>
      <c r="F629" s="303"/>
      <c r="G629" s="325"/>
      <c r="H629" s="303"/>
      <c r="I629" s="303"/>
    </row>
    <row r="630" spans="1:9" x14ac:dyDescent="0.25">
      <c r="A630" s="303"/>
      <c r="B630" s="303"/>
      <c r="C630" s="303"/>
      <c r="D630" s="303"/>
      <c r="E630" s="303"/>
      <c r="F630" s="303"/>
      <c r="G630" s="325"/>
      <c r="H630" s="303"/>
      <c r="I630" s="303"/>
    </row>
    <row r="631" spans="1:9" x14ac:dyDescent="0.25">
      <c r="A631" s="303"/>
      <c r="B631" s="303"/>
      <c r="C631" s="303"/>
      <c r="D631" s="303"/>
      <c r="E631" s="303"/>
      <c r="F631" s="303"/>
      <c r="G631" s="325"/>
      <c r="H631" s="303"/>
      <c r="I631" s="303"/>
    </row>
    <row r="632" spans="1:9" x14ac:dyDescent="0.25">
      <c r="A632" s="303"/>
      <c r="B632" s="303"/>
      <c r="C632" s="303"/>
      <c r="D632" s="303"/>
      <c r="E632" s="303"/>
      <c r="F632" s="303"/>
      <c r="G632" s="325"/>
      <c r="H632" s="303"/>
      <c r="I632" s="303"/>
    </row>
    <row r="633" spans="1:9" x14ac:dyDescent="0.25">
      <c r="A633" s="303"/>
      <c r="B633" s="303"/>
      <c r="C633" s="303"/>
      <c r="D633" s="303"/>
      <c r="E633" s="303"/>
      <c r="F633" s="303"/>
      <c r="G633" s="325"/>
      <c r="H633" s="303"/>
      <c r="I633" s="303"/>
    </row>
    <row r="634" spans="1:9" x14ac:dyDescent="0.25">
      <c r="A634" s="303"/>
      <c r="B634" s="303"/>
      <c r="C634" s="303"/>
      <c r="D634" s="303"/>
      <c r="E634" s="303"/>
      <c r="F634" s="303"/>
      <c r="G634" s="325"/>
      <c r="H634" s="303"/>
      <c r="I634" s="303"/>
    </row>
    <row r="635" spans="1:9" x14ac:dyDescent="0.25">
      <c r="A635" s="303"/>
      <c r="B635" s="303"/>
      <c r="C635" s="303"/>
      <c r="D635" s="303"/>
      <c r="E635" s="303"/>
      <c r="F635" s="303"/>
      <c r="G635" s="325"/>
      <c r="H635" s="303"/>
      <c r="I635" s="303"/>
    </row>
    <row r="636" spans="1:9" x14ac:dyDescent="0.25">
      <c r="A636" s="303"/>
      <c r="B636" s="303"/>
      <c r="C636" s="303"/>
      <c r="D636" s="303"/>
      <c r="E636" s="303"/>
      <c r="F636" s="303"/>
      <c r="G636" s="325"/>
      <c r="H636" s="303"/>
      <c r="I636" s="303"/>
    </row>
    <row r="637" spans="1:9" x14ac:dyDescent="0.25">
      <c r="A637" s="303"/>
      <c r="B637" s="303"/>
      <c r="C637" s="303"/>
      <c r="D637" s="303"/>
      <c r="E637" s="303"/>
      <c r="F637" s="303"/>
      <c r="G637" s="325"/>
      <c r="H637" s="303"/>
      <c r="I637" s="303"/>
    </row>
    <row r="638" spans="1:9" x14ac:dyDescent="0.25">
      <c r="A638" s="303"/>
      <c r="B638" s="303"/>
      <c r="C638" s="303"/>
      <c r="D638" s="303"/>
      <c r="E638" s="303"/>
      <c r="F638" s="303"/>
      <c r="G638" s="325"/>
      <c r="H638" s="303"/>
      <c r="I638" s="303"/>
    </row>
    <row r="639" spans="1:9" x14ac:dyDescent="0.25">
      <c r="A639" s="303"/>
      <c r="B639" s="303"/>
      <c r="C639" s="303"/>
      <c r="D639" s="303"/>
      <c r="E639" s="303"/>
      <c r="F639" s="303"/>
      <c r="G639" s="325"/>
      <c r="H639" s="303"/>
      <c r="I639" s="303"/>
    </row>
    <row r="640" spans="1:9" x14ac:dyDescent="0.25">
      <c r="A640" s="303"/>
      <c r="B640" s="303"/>
      <c r="C640" s="303"/>
      <c r="D640" s="303"/>
      <c r="E640" s="303"/>
      <c r="F640" s="303"/>
      <c r="G640" s="325"/>
      <c r="H640" s="303"/>
      <c r="I640" s="303"/>
    </row>
    <row r="641" spans="1:9" x14ac:dyDescent="0.25">
      <c r="A641" s="303"/>
      <c r="B641" s="303"/>
      <c r="C641" s="303"/>
      <c r="D641" s="303"/>
      <c r="E641" s="303"/>
      <c r="F641" s="303"/>
      <c r="G641" s="325"/>
      <c r="H641" s="303"/>
      <c r="I641" s="303"/>
    </row>
    <row r="642" spans="1:9" x14ac:dyDescent="0.25">
      <c r="A642" s="303"/>
      <c r="B642" s="303"/>
      <c r="C642" s="303"/>
      <c r="D642" s="303"/>
      <c r="E642" s="303"/>
      <c r="F642" s="303"/>
      <c r="G642" s="325"/>
      <c r="H642" s="303"/>
      <c r="I642" s="303"/>
    </row>
    <row r="643" spans="1:9" x14ac:dyDescent="0.25">
      <c r="A643" s="303"/>
      <c r="B643" s="303"/>
      <c r="C643" s="303"/>
      <c r="D643" s="303"/>
      <c r="E643" s="303"/>
      <c r="F643" s="303"/>
      <c r="G643" s="325"/>
      <c r="H643" s="303"/>
      <c r="I643" s="303"/>
    </row>
    <row r="644" spans="1:9" x14ac:dyDescent="0.25">
      <c r="A644" s="303"/>
      <c r="B644" s="303"/>
      <c r="C644" s="303"/>
      <c r="D644" s="303"/>
      <c r="E644" s="303"/>
      <c r="F644" s="303"/>
      <c r="G644" s="325"/>
      <c r="H644" s="303"/>
      <c r="I644" s="303"/>
    </row>
    <row r="645" spans="1:9" x14ac:dyDescent="0.25">
      <c r="A645" s="303"/>
      <c r="B645" s="303"/>
      <c r="C645" s="303"/>
      <c r="D645" s="303"/>
      <c r="E645" s="303"/>
      <c r="F645" s="303"/>
      <c r="G645" s="325"/>
      <c r="H645" s="303"/>
      <c r="I645" s="303"/>
    </row>
    <row r="646" spans="1:9" x14ac:dyDescent="0.25">
      <c r="A646" s="303"/>
      <c r="B646" s="303"/>
      <c r="C646" s="303"/>
      <c r="D646" s="303"/>
      <c r="E646" s="303"/>
      <c r="F646" s="303"/>
      <c r="G646" s="325"/>
      <c r="H646" s="303"/>
      <c r="I646" s="303"/>
    </row>
    <row r="647" spans="1:9" x14ac:dyDescent="0.25">
      <c r="A647" s="303"/>
      <c r="B647" s="303"/>
      <c r="C647" s="303"/>
      <c r="D647" s="303"/>
      <c r="E647" s="303"/>
      <c r="F647" s="303"/>
      <c r="G647" s="325"/>
      <c r="H647" s="303"/>
      <c r="I647" s="303"/>
    </row>
    <row r="648" spans="1:9" x14ac:dyDescent="0.25">
      <c r="A648" s="303"/>
      <c r="B648" s="303"/>
      <c r="C648" s="303"/>
      <c r="D648" s="303"/>
      <c r="E648" s="303"/>
      <c r="F648" s="303"/>
      <c r="G648" s="325"/>
      <c r="H648" s="303"/>
      <c r="I648" s="303"/>
    </row>
    <row r="649" spans="1:9" x14ac:dyDescent="0.25">
      <c r="A649" s="303"/>
      <c r="B649" s="303"/>
      <c r="C649" s="303"/>
      <c r="D649" s="303"/>
      <c r="E649" s="303"/>
      <c r="F649" s="303"/>
      <c r="G649" s="325"/>
      <c r="H649" s="303"/>
      <c r="I649" s="303"/>
    </row>
    <row r="650" spans="1:9" x14ac:dyDescent="0.25">
      <c r="A650" s="303"/>
      <c r="B650" s="303"/>
      <c r="C650" s="303"/>
      <c r="D650" s="303"/>
      <c r="E650" s="303"/>
      <c r="F650" s="303"/>
      <c r="G650" s="325"/>
      <c r="H650" s="303"/>
      <c r="I650" s="303"/>
    </row>
    <row r="651" spans="1:9" x14ac:dyDescent="0.25">
      <c r="A651" s="303"/>
      <c r="B651" s="303"/>
      <c r="C651" s="303"/>
      <c r="D651" s="303"/>
      <c r="E651" s="303"/>
      <c r="F651" s="303"/>
      <c r="G651" s="325"/>
      <c r="H651" s="303"/>
      <c r="I651" s="303"/>
    </row>
    <row r="652" spans="1:9" x14ac:dyDescent="0.25">
      <c r="A652" s="303"/>
      <c r="B652" s="303"/>
      <c r="C652" s="303"/>
      <c r="D652" s="303"/>
      <c r="E652" s="303"/>
      <c r="F652" s="303"/>
      <c r="G652" s="325"/>
      <c r="H652" s="303"/>
      <c r="I652" s="303"/>
    </row>
    <row r="653" spans="1:9" x14ac:dyDescent="0.25">
      <c r="A653" s="303"/>
      <c r="B653" s="303"/>
      <c r="C653" s="303"/>
      <c r="D653" s="303"/>
      <c r="E653" s="303"/>
      <c r="F653" s="303"/>
      <c r="G653" s="325"/>
      <c r="H653" s="303"/>
      <c r="I653" s="303"/>
    </row>
    <row r="654" spans="1:9" x14ac:dyDescent="0.25">
      <c r="A654" s="303"/>
      <c r="B654" s="303"/>
      <c r="C654" s="303"/>
      <c r="D654" s="303"/>
      <c r="E654" s="303"/>
      <c r="F654" s="303"/>
      <c r="G654" s="325"/>
      <c r="H654" s="303"/>
      <c r="I654" s="303"/>
    </row>
    <row r="655" spans="1:9" x14ac:dyDescent="0.25">
      <c r="A655" s="303"/>
      <c r="B655" s="303"/>
      <c r="C655" s="303"/>
      <c r="D655" s="303"/>
      <c r="E655" s="303"/>
      <c r="F655" s="303"/>
      <c r="G655" s="325"/>
      <c r="H655" s="303"/>
      <c r="I655" s="303"/>
    </row>
    <row r="656" spans="1:9" x14ac:dyDescent="0.25">
      <c r="A656" s="303"/>
      <c r="B656" s="303"/>
      <c r="C656" s="303"/>
      <c r="D656" s="303"/>
      <c r="E656" s="303"/>
      <c r="F656" s="303"/>
      <c r="G656" s="325"/>
      <c r="H656" s="303"/>
      <c r="I656" s="303"/>
    </row>
    <row r="657" spans="1:9" x14ac:dyDescent="0.25">
      <c r="A657" s="303"/>
      <c r="B657" s="303"/>
      <c r="C657" s="303"/>
      <c r="D657" s="303"/>
      <c r="E657" s="303"/>
      <c r="F657" s="303"/>
      <c r="G657" s="325"/>
      <c r="H657" s="303"/>
      <c r="I657" s="303"/>
    </row>
    <row r="658" spans="1:9" x14ac:dyDescent="0.25">
      <c r="A658" s="303"/>
      <c r="B658" s="303"/>
      <c r="C658" s="303"/>
      <c r="D658" s="303"/>
      <c r="E658" s="303"/>
      <c r="F658" s="303"/>
      <c r="G658" s="325"/>
      <c r="H658" s="303"/>
      <c r="I658" s="303"/>
    </row>
    <row r="659" spans="1:9" x14ac:dyDescent="0.25">
      <c r="A659" s="303"/>
      <c r="B659" s="303"/>
      <c r="C659" s="303"/>
      <c r="D659" s="303"/>
      <c r="E659" s="303"/>
      <c r="F659" s="303"/>
      <c r="G659" s="325"/>
      <c r="H659" s="303"/>
      <c r="I659" s="303"/>
    </row>
    <row r="660" spans="1:9" x14ac:dyDescent="0.25">
      <c r="A660" s="303"/>
      <c r="B660" s="303"/>
      <c r="C660" s="303"/>
      <c r="D660" s="303"/>
      <c r="E660" s="303"/>
      <c r="F660" s="303"/>
      <c r="G660" s="325"/>
      <c r="H660" s="303"/>
      <c r="I660" s="303"/>
    </row>
    <row r="661" spans="1:9" x14ac:dyDescent="0.25">
      <c r="A661" s="303"/>
      <c r="B661" s="303"/>
      <c r="C661" s="303"/>
      <c r="D661" s="303"/>
      <c r="E661" s="303"/>
      <c r="F661" s="303"/>
      <c r="G661" s="325"/>
      <c r="H661" s="303"/>
      <c r="I661" s="303"/>
    </row>
    <row r="662" spans="1:9" x14ac:dyDescent="0.25">
      <c r="A662" s="303"/>
      <c r="B662" s="303"/>
      <c r="C662" s="303"/>
      <c r="D662" s="303"/>
      <c r="E662" s="303"/>
      <c r="F662" s="303"/>
      <c r="G662" s="325"/>
      <c r="H662" s="303"/>
      <c r="I662" s="303"/>
    </row>
    <row r="663" spans="1:9" x14ac:dyDescent="0.25">
      <c r="A663" s="303"/>
      <c r="B663" s="303"/>
      <c r="C663" s="303"/>
      <c r="D663" s="303"/>
      <c r="E663" s="303"/>
      <c r="F663" s="303"/>
      <c r="G663" s="325"/>
      <c r="H663" s="303"/>
      <c r="I663" s="303"/>
    </row>
    <row r="664" spans="1:9" x14ac:dyDescent="0.25">
      <c r="A664" s="303"/>
      <c r="B664" s="303"/>
      <c r="C664" s="303"/>
      <c r="D664" s="303"/>
      <c r="E664" s="303"/>
      <c r="F664" s="303"/>
      <c r="G664" s="325"/>
      <c r="H664" s="303"/>
      <c r="I664" s="303"/>
    </row>
    <row r="665" spans="1:9" x14ac:dyDescent="0.25">
      <c r="A665" s="303"/>
      <c r="B665" s="303"/>
      <c r="C665" s="303"/>
      <c r="D665" s="303"/>
      <c r="E665" s="303"/>
      <c r="F665" s="303"/>
      <c r="G665" s="325"/>
      <c r="H665" s="303"/>
      <c r="I665" s="303"/>
    </row>
    <row r="666" spans="1:9" x14ac:dyDescent="0.25">
      <c r="A666" s="303"/>
      <c r="B666" s="303"/>
      <c r="C666" s="303"/>
      <c r="D666" s="303"/>
      <c r="E666" s="303"/>
      <c r="F666" s="303"/>
      <c r="G666" s="325"/>
      <c r="H666" s="303"/>
      <c r="I666" s="303"/>
    </row>
    <row r="667" spans="1:9" x14ac:dyDescent="0.25">
      <c r="A667" s="303"/>
      <c r="B667" s="303"/>
      <c r="C667" s="303"/>
      <c r="D667" s="303"/>
      <c r="E667" s="303"/>
      <c r="F667" s="303"/>
      <c r="G667" s="325"/>
      <c r="H667" s="303"/>
      <c r="I667" s="303"/>
    </row>
    <row r="668" spans="1:9" x14ac:dyDescent="0.25">
      <c r="A668" s="303"/>
      <c r="B668" s="303"/>
      <c r="C668" s="303"/>
      <c r="D668" s="303"/>
      <c r="E668" s="303"/>
      <c r="F668" s="303"/>
      <c r="G668" s="325"/>
      <c r="H668" s="303"/>
      <c r="I668" s="303"/>
    </row>
    <row r="669" spans="1:9" x14ac:dyDescent="0.25">
      <c r="A669" s="303"/>
      <c r="B669" s="303"/>
      <c r="C669" s="303"/>
      <c r="D669" s="303"/>
      <c r="E669" s="303"/>
      <c r="F669" s="303"/>
      <c r="G669" s="325"/>
      <c r="H669" s="303"/>
      <c r="I669" s="303"/>
    </row>
    <row r="670" spans="1:9" x14ac:dyDescent="0.25">
      <c r="A670" s="303"/>
      <c r="B670" s="303"/>
      <c r="C670" s="303"/>
      <c r="D670" s="303"/>
      <c r="E670" s="303"/>
      <c r="F670" s="303"/>
      <c r="G670" s="325"/>
      <c r="H670" s="303"/>
      <c r="I670" s="303"/>
    </row>
    <row r="671" spans="1:9" x14ac:dyDescent="0.25">
      <c r="A671" s="303"/>
      <c r="B671" s="303"/>
      <c r="C671" s="303"/>
      <c r="D671" s="303"/>
      <c r="E671" s="303"/>
      <c r="F671" s="303"/>
      <c r="G671" s="325"/>
      <c r="H671" s="303"/>
      <c r="I671" s="303"/>
    </row>
    <row r="672" spans="1:9" x14ac:dyDescent="0.25">
      <c r="A672" s="303"/>
      <c r="B672" s="303"/>
      <c r="C672" s="303"/>
      <c r="D672" s="303"/>
      <c r="E672" s="303"/>
      <c r="F672" s="303"/>
      <c r="G672" s="325"/>
      <c r="H672" s="303"/>
      <c r="I672" s="303"/>
    </row>
    <row r="673" spans="1:9" x14ac:dyDescent="0.25">
      <c r="A673" s="303"/>
      <c r="B673" s="303"/>
      <c r="C673" s="303"/>
      <c r="D673" s="303"/>
      <c r="E673" s="303"/>
      <c r="F673" s="303"/>
      <c r="G673" s="325"/>
      <c r="H673" s="303"/>
      <c r="I673" s="303"/>
    </row>
    <row r="674" spans="1:9" x14ac:dyDescent="0.25">
      <c r="A674" s="303"/>
      <c r="B674" s="303"/>
      <c r="C674" s="303"/>
      <c r="D674" s="303"/>
      <c r="E674" s="303"/>
      <c r="F674" s="303"/>
      <c r="G674" s="325"/>
      <c r="H674" s="303"/>
      <c r="I674" s="303"/>
    </row>
    <row r="675" spans="1:9" x14ac:dyDescent="0.25">
      <c r="A675" s="303"/>
      <c r="B675" s="303"/>
      <c r="C675" s="303"/>
      <c r="D675" s="303"/>
      <c r="E675" s="303"/>
      <c r="F675" s="303"/>
      <c r="G675" s="325"/>
      <c r="H675" s="303"/>
      <c r="I675" s="303"/>
    </row>
    <row r="676" spans="1:9" x14ac:dyDescent="0.25">
      <c r="A676" s="303"/>
      <c r="B676" s="303"/>
      <c r="C676" s="303"/>
      <c r="D676" s="303"/>
      <c r="E676" s="303"/>
      <c r="F676" s="303"/>
      <c r="G676" s="325"/>
      <c r="H676" s="303"/>
      <c r="I676" s="303"/>
    </row>
    <row r="677" spans="1:9" x14ac:dyDescent="0.25">
      <c r="A677" s="303"/>
      <c r="B677" s="303"/>
      <c r="C677" s="303"/>
      <c r="D677" s="303"/>
      <c r="E677" s="303"/>
      <c r="F677" s="303"/>
      <c r="G677" s="325"/>
      <c r="H677" s="303"/>
      <c r="I677" s="303"/>
    </row>
    <row r="678" spans="1:9" x14ac:dyDescent="0.25">
      <c r="A678" s="303"/>
      <c r="B678" s="303"/>
      <c r="C678" s="303"/>
      <c r="D678" s="303"/>
      <c r="E678" s="303"/>
      <c r="F678" s="303"/>
      <c r="G678" s="325"/>
      <c r="H678" s="303"/>
      <c r="I678" s="303"/>
    </row>
    <row r="679" spans="1:9" x14ac:dyDescent="0.25">
      <c r="A679" s="303"/>
      <c r="B679" s="303"/>
      <c r="C679" s="303"/>
      <c r="D679" s="303"/>
      <c r="E679" s="303"/>
      <c r="F679" s="303"/>
      <c r="G679" s="325"/>
      <c r="H679" s="303"/>
      <c r="I679" s="303"/>
    </row>
    <row r="680" spans="1:9" x14ac:dyDescent="0.25">
      <c r="A680" s="303"/>
      <c r="B680" s="303"/>
      <c r="C680" s="303"/>
      <c r="D680" s="303"/>
      <c r="E680" s="303"/>
      <c r="F680" s="303"/>
      <c r="G680" s="325"/>
      <c r="H680" s="303"/>
      <c r="I680" s="303"/>
    </row>
    <row r="681" spans="1:9" x14ac:dyDescent="0.25">
      <c r="A681" s="303"/>
      <c r="B681" s="303"/>
      <c r="C681" s="303"/>
      <c r="D681" s="303"/>
      <c r="E681" s="303"/>
      <c r="F681" s="303"/>
      <c r="G681" s="325"/>
      <c r="H681" s="303"/>
      <c r="I681" s="303"/>
    </row>
    <row r="682" spans="1:9" x14ac:dyDescent="0.25">
      <c r="A682" s="303"/>
      <c r="B682" s="303"/>
      <c r="C682" s="303"/>
      <c r="D682" s="303"/>
      <c r="E682" s="303"/>
      <c r="F682" s="303"/>
      <c r="G682" s="325"/>
      <c r="H682" s="303"/>
      <c r="I682" s="303"/>
    </row>
    <row r="683" spans="1:9" x14ac:dyDescent="0.25">
      <c r="A683" s="303"/>
      <c r="B683" s="303"/>
      <c r="C683" s="303"/>
      <c r="D683" s="303"/>
      <c r="E683" s="303"/>
      <c r="F683" s="303"/>
      <c r="G683" s="325"/>
      <c r="H683" s="303"/>
      <c r="I683" s="303"/>
    </row>
    <row r="684" spans="1:9" x14ac:dyDescent="0.25">
      <c r="A684" s="303"/>
      <c r="B684" s="303"/>
      <c r="C684" s="303"/>
      <c r="D684" s="303"/>
      <c r="E684" s="303"/>
      <c r="F684" s="303"/>
      <c r="G684" s="325"/>
      <c r="H684" s="303"/>
      <c r="I684" s="303"/>
    </row>
    <row r="685" spans="1:9" x14ac:dyDescent="0.25">
      <c r="A685" s="303"/>
      <c r="B685" s="303"/>
      <c r="C685" s="303"/>
      <c r="D685" s="303"/>
      <c r="E685" s="303"/>
      <c r="F685" s="303"/>
      <c r="G685" s="325"/>
      <c r="H685" s="303"/>
      <c r="I685" s="303"/>
    </row>
    <row r="686" spans="1:9" x14ac:dyDescent="0.25">
      <c r="A686" s="303"/>
      <c r="B686" s="303"/>
      <c r="C686" s="303"/>
      <c r="D686" s="303"/>
      <c r="E686" s="303"/>
      <c r="F686" s="303"/>
      <c r="G686" s="325"/>
      <c r="H686" s="303"/>
      <c r="I686" s="303"/>
    </row>
    <row r="687" spans="1:9" x14ac:dyDescent="0.25">
      <c r="A687" s="303"/>
      <c r="B687" s="303"/>
      <c r="C687" s="303"/>
      <c r="D687" s="303"/>
      <c r="E687" s="303"/>
      <c r="F687" s="303"/>
      <c r="G687" s="325"/>
      <c r="H687" s="303"/>
      <c r="I687" s="303"/>
    </row>
    <row r="688" spans="1:9" x14ac:dyDescent="0.25">
      <c r="A688" s="303"/>
      <c r="B688" s="303"/>
      <c r="C688" s="303"/>
      <c r="D688" s="303"/>
      <c r="E688" s="303"/>
      <c r="F688" s="303"/>
      <c r="G688" s="325"/>
      <c r="H688" s="303"/>
      <c r="I688" s="303"/>
    </row>
    <row r="689" spans="1:9" x14ac:dyDescent="0.25">
      <c r="A689" s="303"/>
      <c r="B689" s="303"/>
      <c r="C689" s="303"/>
      <c r="D689" s="303"/>
      <c r="E689" s="303"/>
      <c r="F689" s="303"/>
      <c r="G689" s="325"/>
      <c r="H689" s="303"/>
      <c r="I689" s="303"/>
    </row>
    <row r="690" spans="1:9" x14ac:dyDescent="0.25">
      <c r="A690" s="303"/>
      <c r="B690" s="303"/>
      <c r="C690" s="303"/>
      <c r="D690" s="303"/>
      <c r="E690" s="303"/>
      <c r="F690" s="303"/>
      <c r="G690" s="325"/>
      <c r="H690" s="303"/>
      <c r="I690" s="303"/>
    </row>
    <row r="691" spans="1:9" x14ac:dyDescent="0.25">
      <c r="A691" s="303"/>
      <c r="B691" s="303"/>
      <c r="C691" s="303"/>
      <c r="D691" s="303"/>
      <c r="E691" s="303"/>
      <c r="F691" s="303"/>
      <c r="G691" s="325"/>
      <c r="H691" s="303"/>
      <c r="I691" s="303"/>
    </row>
    <row r="692" spans="1:9" x14ac:dyDescent="0.25">
      <c r="A692" s="303"/>
      <c r="B692" s="303"/>
      <c r="C692" s="303"/>
      <c r="D692" s="303"/>
      <c r="E692" s="303"/>
      <c r="F692" s="303"/>
      <c r="G692" s="325"/>
      <c r="H692" s="303"/>
      <c r="I692" s="303"/>
    </row>
    <row r="693" spans="1:9" x14ac:dyDescent="0.25">
      <c r="A693" s="303"/>
      <c r="B693" s="303"/>
      <c r="C693" s="303"/>
      <c r="D693" s="303"/>
      <c r="E693" s="303"/>
      <c r="F693" s="303"/>
      <c r="G693" s="325"/>
      <c r="H693" s="303"/>
      <c r="I693" s="303"/>
    </row>
    <row r="694" spans="1:9" x14ac:dyDescent="0.25">
      <c r="A694" s="303"/>
      <c r="B694" s="303"/>
      <c r="C694" s="303"/>
      <c r="D694" s="303"/>
      <c r="E694" s="303"/>
      <c r="F694" s="303"/>
      <c r="G694" s="325"/>
      <c r="H694" s="303"/>
      <c r="I694" s="303"/>
    </row>
    <row r="695" spans="1:9" x14ac:dyDescent="0.25">
      <c r="A695" s="303"/>
      <c r="B695" s="303"/>
      <c r="C695" s="303"/>
      <c r="D695" s="303"/>
      <c r="E695" s="303"/>
      <c r="F695" s="303"/>
      <c r="G695" s="325"/>
      <c r="H695" s="303"/>
      <c r="I695" s="303"/>
    </row>
    <row r="696" spans="1:9" x14ac:dyDescent="0.25">
      <c r="A696" s="303"/>
      <c r="B696" s="303"/>
      <c r="C696" s="303"/>
      <c r="D696" s="303"/>
      <c r="E696" s="303"/>
      <c r="F696" s="303"/>
      <c r="G696" s="325"/>
      <c r="H696" s="303"/>
      <c r="I696" s="303"/>
    </row>
    <row r="697" spans="1:9" x14ac:dyDescent="0.25">
      <c r="A697" s="303"/>
      <c r="B697" s="303"/>
      <c r="C697" s="303"/>
      <c r="D697" s="303"/>
      <c r="E697" s="303"/>
      <c r="F697" s="303"/>
      <c r="G697" s="325"/>
      <c r="H697" s="303"/>
      <c r="I697" s="303"/>
    </row>
    <row r="698" spans="1:9" x14ac:dyDescent="0.25">
      <c r="A698" s="303"/>
      <c r="B698" s="303"/>
      <c r="C698" s="303"/>
      <c r="D698" s="303"/>
      <c r="E698" s="303"/>
      <c r="F698" s="303"/>
      <c r="G698" s="325"/>
      <c r="H698" s="303"/>
      <c r="I698" s="303"/>
    </row>
    <row r="699" spans="1:9" x14ac:dyDescent="0.25">
      <c r="A699" s="303"/>
      <c r="B699" s="303"/>
      <c r="C699" s="303"/>
      <c r="D699" s="303"/>
      <c r="E699" s="303"/>
      <c r="F699" s="303"/>
      <c r="G699" s="325"/>
      <c r="H699" s="303"/>
      <c r="I699" s="303"/>
    </row>
    <row r="700" spans="1:9" x14ac:dyDescent="0.25">
      <c r="A700" s="303"/>
      <c r="B700" s="303"/>
      <c r="C700" s="303"/>
      <c r="D700" s="303"/>
      <c r="E700" s="303"/>
      <c r="F700" s="303"/>
      <c r="G700" s="325"/>
      <c r="H700" s="303"/>
      <c r="I700" s="303"/>
    </row>
    <row r="701" spans="1:9" x14ac:dyDescent="0.25">
      <c r="A701" s="303"/>
      <c r="B701" s="303"/>
      <c r="C701" s="303"/>
      <c r="D701" s="303"/>
      <c r="E701" s="303"/>
      <c r="F701" s="303"/>
      <c r="G701" s="325"/>
      <c r="H701" s="303"/>
      <c r="I701" s="303"/>
    </row>
    <row r="702" spans="1:9" x14ac:dyDescent="0.25">
      <c r="A702" s="303"/>
      <c r="B702" s="303"/>
      <c r="C702" s="303"/>
      <c r="D702" s="303"/>
      <c r="E702" s="303"/>
      <c r="F702" s="303"/>
      <c r="G702" s="325"/>
      <c r="H702" s="303"/>
      <c r="I702" s="303"/>
    </row>
    <row r="703" spans="1:9" x14ac:dyDescent="0.25">
      <c r="A703" s="303"/>
      <c r="B703" s="303"/>
      <c r="C703" s="303"/>
      <c r="D703" s="303"/>
      <c r="E703" s="303"/>
      <c r="F703" s="303"/>
      <c r="G703" s="325"/>
      <c r="H703" s="303"/>
      <c r="I703" s="303"/>
    </row>
    <row r="704" spans="1:9" x14ac:dyDescent="0.25">
      <c r="A704" s="303"/>
      <c r="B704" s="303"/>
      <c r="C704" s="303"/>
      <c r="D704" s="303"/>
      <c r="E704" s="303"/>
      <c r="F704" s="303"/>
      <c r="G704" s="325"/>
      <c r="H704" s="303"/>
      <c r="I704" s="303"/>
    </row>
    <row r="705" spans="1:9" x14ac:dyDescent="0.25">
      <c r="A705" s="303"/>
      <c r="B705" s="303"/>
      <c r="C705" s="303"/>
      <c r="D705" s="303"/>
      <c r="E705" s="303"/>
      <c r="F705" s="303"/>
      <c r="G705" s="325"/>
      <c r="H705" s="303"/>
      <c r="I705" s="303"/>
    </row>
    <row r="706" spans="1:9" x14ac:dyDescent="0.25">
      <c r="A706" s="303"/>
      <c r="B706" s="303"/>
      <c r="C706" s="303"/>
      <c r="D706" s="303"/>
      <c r="E706" s="303"/>
      <c r="F706" s="303"/>
      <c r="G706" s="325"/>
      <c r="H706" s="303"/>
      <c r="I706" s="303"/>
    </row>
    <row r="707" spans="1:9" x14ac:dyDescent="0.25">
      <c r="A707" s="303"/>
      <c r="B707" s="303"/>
      <c r="C707" s="303"/>
      <c r="D707" s="303"/>
      <c r="E707" s="303"/>
      <c r="F707" s="303"/>
      <c r="G707" s="325"/>
      <c r="H707" s="303"/>
      <c r="I707" s="303"/>
    </row>
    <row r="708" spans="1:9" x14ac:dyDescent="0.25">
      <c r="A708" s="303"/>
      <c r="B708" s="303"/>
      <c r="C708" s="303"/>
      <c r="D708" s="303"/>
      <c r="E708" s="303"/>
      <c r="F708" s="303"/>
      <c r="G708" s="325"/>
      <c r="H708" s="303"/>
      <c r="I708" s="303"/>
    </row>
    <row r="709" spans="1:9" x14ac:dyDescent="0.25">
      <c r="A709" s="303"/>
      <c r="B709" s="303"/>
      <c r="C709" s="303"/>
      <c r="D709" s="303"/>
      <c r="E709" s="303"/>
      <c r="F709" s="303"/>
      <c r="G709" s="325"/>
      <c r="H709" s="303"/>
      <c r="I709" s="303"/>
    </row>
    <row r="710" spans="1:9" x14ac:dyDescent="0.25">
      <c r="A710" s="303"/>
      <c r="B710" s="303"/>
      <c r="C710" s="303"/>
      <c r="D710" s="303"/>
      <c r="E710" s="303"/>
      <c r="F710" s="303"/>
      <c r="G710" s="325"/>
      <c r="H710" s="303"/>
      <c r="I710" s="303"/>
    </row>
    <row r="711" spans="1:9" x14ac:dyDescent="0.25">
      <c r="A711" s="303"/>
      <c r="B711" s="303"/>
      <c r="C711" s="303"/>
      <c r="D711" s="303"/>
      <c r="E711" s="303"/>
      <c r="F711" s="303"/>
      <c r="G711" s="325"/>
      <c r="H711" s="303"/>
      <c r="I711" s="303"/>
    </row>
    <row r="712" spans="1:9" x14ac:dyDescent="0.25">
      <c r="A712" s="303"/>
      <c r="B712" s="303"/>
      <c r="C712" s="303"/>
      <c r="D712" s="303"/>
      <c r="E712" s="303"/>
      <c r="F712" s="303"/>
      <c r="G712" s="325"/>
      <c r="H712" s="303"/>
      <c r="I712" s="303"/>
    </row>
    <row r="713" spans="1:9" x14ac:dyDescent="0.25">
      <c r="A713" s="303"/>
      <c r="B713" s="303"/>
      <c r="C713" s="303"/>
      <c r="D713" s="303"/>
      <c r="E713" s="303"/>
      <c r="F713" s="303"/>
      <c r="G713" s="325"/>
      <c r="H713" s="303"/>
      <c r="I713" s="303"/>
    </row>
    <row r="714" spans="1:9" x14ac:dyDescent="0.25">
      <c r="A714" s="303"/>
      <c r="B714" s="303"/>
      <c r="C714" s="303"/>
      <c r="D714" s="303"/>
      <c r="E714" s="303"/>
      <c r="F714" s="303"/>
      <c r="G714" s="325"/>
      <c r="H714" s="303"/>
      <c r="I714" s="303"/>
    </row>
    <row r="715" spans="1:9" x14ac:dyDescent="0.25">
      <c r="A715" s="303"/>
      <c r="B715" s="303"/>
      <c r="C715" s="303"/>
      <c r="D715" s="303"/>
      <c r="E715" s="303"/>
      <c r="F715" s="303"/>
      <c r="G715" s="325"/>
      <c r="H715" s="303"/>
      <c r="I715" s="303"/>
    </row>
    <row r="716" spans="1:9" x14ac:dyDescent="0.25">
      <c r="A716" s="303"/>
      <c r="B716" s="303"/>
      <c r="C716" s="303"/>
      <c r="D716" s="303"/>
      <c r="E716" s="303"/>
      <c r="F716" s="303"/>
      <c r="G716" s="325"/>
      <c r="H716" s="303"/>
      <c r="I716" s="303"/>
    </row>
    <row r="717" spans="1:9" x14ac:dyDescent="0.25">
      <c r="A717" s="303"/>
      <c r="B717" s="303"/>
      <c r="C717" s="303"/>
      <c r="D717" s="303"/>
      <c r="E717" s="303"/>
      <c r="F717" s="303"/>
      <c r="G717" s="325"/>
      <c r="H717" s="303"/>
      <c r="I717" s="303"/>
    </row>
    <row r="718" spans="1:9" x14ac:dyDescent="0.25">
      <c r="A718" s="303"/>
      <c r="B718" s="303"/>
      <c r="C718" s="303"/>
      <c r="D718" s="303"/>
      <c r="E718" s="303"/>
      <c r="F718" s="303"/>
      <c r="G718" s="325"/>
      <c r="H718" s="303"/>
      <c r="I718" s="303"/>
    </row>
    <row r="719" spans="1:9" x14ac:dyDescent="0.25">
      <c r="A719" s="303"/>
      <c r="B719" s="303"/>
      <c r="C719" s="303"/>
      <c r="D719" s="303"/>
      <c r="E719" s="303"/>
      <c r="F719" s="303"/>
      <c r="G719" s="325"/>
      <c r="H719" s="303"/>
      <c r="I719" s="303"/>
    </row>
    <row r="720" spans="1:9" x14ac:dyDescent="0.25">
      <c r="A720" s="303"/>
      <c r="B720" s="303"/>
      <c r="C720" s="303"/>
      <c r="D720" s="303"/>
      <c r="E720" s="303"/>
      <c r="F720" s="303"/>
      <c r="G720" s="325"/>
      <c r="H720" s="303"/>
      <c r="I720" s="303"/>
    </row>
    <row r="721" spans="1:9" x14ac:dyDescent="0.25">
      <c r="A721" s="303"/>
      <c r="B721" s="303"/>
      <c r="C721" s="303"/>
      <c r="D721" s="303"/>
      <c r="E721" s="303"/>
      <c r="F721" s="303"/>
      <c r="G721" s="325"/>
      <c r="H721" s="303"/>
      <c r="I721" s="303"/>
    </row>
    <row r="722" spans="1:9" x14ac:dyDescent="0.25">
      <c r="A722" s="303"/>
      <c r="B722" s="303"/>
      <c r="C722" s="303"/>
      <c r="D722" s="303"/>
      <c r="E722" s="303"/>
      <c r="F722" s="303"/>
      <c r="G722" s="325"/>
      <c r="H722" s="303"/>
      <c r="I722" s="303"/>
    </row>
    <row r="723" spans="1:9" x14ac:dyDescent="0.25">
      <c r="A723" s="303"/>
      <c r="B723" s="303"/>
      <c r="C723" s="303"/>
      <c r="D723" s="303"/>
      <c r="E723" s="303"/>
      <c r="F723" s="303"/>
      <c r="G723" s="325"/>
      <c r="H723" s="303"/>
      <c r="I723" s="303"/>
    </row>
    <row r="724" spans="1:9" x14ac:dyDescent="0.25">
      <c r="A724" s="303"/>
      <c r="B724" s="303"/>
      <c r="C724" s="303"/>
      <c r="D724" s="303"/>
      <c r="E724" s="303"/>
      <c r="F724" s="303"/>
      <c r="G724" s="325"/>
      <c r="H724" s="303"/>
      <c r="I724" s="303"/>
    </row>
    <row r="725" spans="1:9" x14ac:dyDescent="0.25">
      <c r="A725" s="303"/>
      <c r="B725" s="303"/>
      <c r="C725" s="303"/>
      <c r="D725" s="303"/>
      <c r="E725" s="303"/>
      <c r="F725" s="303"/>
      <c r="G725" s="325"/>
      <c r="H725" s="303"/>
      <c r="I725" s="303"/>
    </row>
    <row r="726" spans="1:9" x14ac:dyDescent="0.25">
      <c r="A726" s="303"/>
      <c r="B726" s="303"/>
      <c r="C726" s="303"/>
      <c r="D726" s="303"/>
      <c r="E726" s="303"/>
      <c r="F726" s="303"/>
      <c r="G726" s="325"/>
      <c r="H726" s="303"/>
      <c r="I726" s="303"/>
    </row>
    <row r="727" spans="1:9" x14ac:dyDescent="0.25">
      <c r="A727" s="303"/>
      <c r="B727" s="303"/>
      <c r="C727" s="303"/>
      <c r="D727" s="303"/>
      <c r="E727" s="303"/>
      <c r="F727" s="303"/>
      <c r="G727" s="325"/>
      <c r="H727" s="303"/>
      <c r="I727" s="303"/>
    </row>
    <row r="728" spans="1:9" x14ac:dyDescent="0.25">
      <c r="A728" s="303"/>
      <c r="B728" s="303"/>
      <c r="C728" s="303"/>
      <c r="D728" s="303"/>
      <c r="E728" s="303"/>
      <c r="F728" s="303"/>
      <c r="G728" s="325"/>
      <c r="H728" s="303"/>
      <c r="I728" s="303"/>
    </row>
    <row r="729" spans="1:9" x14ac:dyDescent="0.25">
      <c r="A729" s="303"/>
      <c r="B729" s="303"/>
      <c r="C729" s="303"/>
      <c r="D729" s="303"/>
      <c r="E729" s="303"/>
      <c r="F729" s="303"/>
      <c r="G729" s="325"/>
      <c r="H729" s="303"/>
      <c r="I729" s="303"/>
    </row>
    <row r="730" spans="1:9" x14ac:dyDescent="0.25">
      <c r="A730" s="303"/>
      <c r="B730" s="303"/>
      <c r="C730" s="303"/>
      <c r="D730" s="303"/>
      <c r="E730" s="303"/>
      <c r="F730" s="303"/>
      <c r="G730" s="325"/>
      <c r="H730" s="303"/>
      <c r="I730" s="303"/>
    </row>
    <row r="731" spans="1:9" x14ac:dyDescent="0.25">
      <c r="A731" s="303"/>
      <c r="B731" s="303"/>
      <c r="C731" s="303"/>
      <c r="D731" s="303"/>
      <c r="E731" s="303"/>
      <c r="F731" s="303"/>
      <c r="G731" s="325"/>
      <c r="H731" s="303"/>
      <c r="I731" s="303"/>
    </row>
    <row r="732" spans="1:9" x14ac:dyDescent="0.25">
      <c r="A732" s="303"/>
      <c r="B732" s="303"/>
      <c r="C732" s="303"/>
      <c r="D732" s="303"/>
      <c r="E732" s="303"/>
      <c r="F732" s="303"/>
      <c r="G732" s="325"/>
      <c r="H732" s="303"/>
      <c r="I732" s="303"/>
    </row>
    <row r="733" spans="1:9" x14ac:dyDescent="0.25">
      <c r="A733" s="303"/>
      <c r="B733" s="303"/>
      <c r="C733" s="303"/>
      <c r="D733" s="303"/>
      <c r="E733" s="303"/>
      <c r="F733" s="303"/>
      <c r="G733" s="325"/>
      <c r="H733" s="303"/>
      <c r="I733" s="303"/>
    </row>
    <row r="734" spans="1:9" x14ac:dyDescent="0.25">
      <c r="A734" s="303"/>
      <c r="B734" s="303"/>
      <c r="C734" s="303"/>
      <c r="D734" s="303"/>
      <c r="E734" s="303"/>
      <c r="F734" s="303"/>
      <c r="G734" s="325"/>
      <c r="H734" s="303"/>
      <c r="I734" s="303"/>
    </row>
    <row r="735" spans="1:9" x14ac:dyDescent="0.25">
      <c r="A735" s="303"/>
      <c r="B735" s="303"/>
      <c r="C735" s="303"/>
      <c r="D735" s="303"/>
      <c r="E735" s="303"/>
      <c r="F735" s="303"/>
      <c r="G735" s="325"/>
      <c r="H735" s="303"/>
      <c r="I735" s="303"/>
    </row>
    <row r="736" spans="1:9" x14ac:dyDescent="0.25">
      <c r="A736" s="303"/>
      <c r="B736" s="303"/>
      <c r="C736" s="303"/>
      <c r="D736" s="303"/>
      <c r="E736" s="303"/>
      <c r="F736" s="303"/>
      <c r="G736" s="325"/>
      <c r="H736" s="303"/>
      <c r="I736" s="303"/>
    </row>
    <row r="737" spans="1:9" x14ac:dyDescent="0.25">
      <c r="A737" s="303"/>
      <c r="B737" s="303"/>
      <c r="C737" s="303"/>
      <c r="D737" s="303"/>
      <c r="E737" s="303"/>
      <c r="F737" s="303"/>
      <c r="G737" s="325"/>
      <c r="H737" s="303"/>
      <c r="I737" s="303"/>
    </row>
    <row r="738" spans="1:9" x14ac:dyDescent="0.25">
      <c r="A738" s="303"/>
      <c r="B738" s="303"/>
      <c r="C738" s="303"/>
      <c r="D738" s="303"/>
      <c r="E738" s="303"/>
      <c r="F738" s="303"/>
      <c r="G738" s="325"/>
      <c r="H738" s="303"/>
      <c r="I738" s="303"/>
    </row>
    <row r="739" spans="1:9" x14ac:dyDescent="0.25">
      <c r="A739" s="303"/>
      <c r="B739" s="303"/>
      <c r="C739" s="303"/>
      <c r="D739" s="303"/>
      <c r="E739" s="303"/>
      <c r="F739" s="303"/>
      <c r="G739" s="325"/>
      <c r="H739" s="303"/>
      <c r="I739" s="303"/>
    </row>
    <row r="740" spans="1:9" x14ac:dyDescent="0.25">
      <c r="A740" s="303"/>
      <c r="B740" s="303"/>
      <c r="C740" s="303"/>
      <c r="D740" s="303"/>
      <c r="E740" s="303"/>
      <c r="F740" s="303"/>
      <c r="G740" s="325"/>
      <c r="H740" s="303"/>
      <c r="I740" s="303"/>
    </row>
    <row r="741" spans="1:9" x14ac:dyDescent="0.25">
      <c r="A741" s="303"/>
      <c r="B741" s="303"/>
      <c r="C741" s="303"/>
      <c r="D741" s="303"/>
      <c r="E741" s="303"/>
      <c r="F741" s="303"/>
      <c r="G741" s="325"/>
      <c r="H741" s="303"/>
      <c r="I741" s="303"/>
    </row>
    <row r="742" spans="1:9" x14ac:dyDescent="0.25">
      <c r="A742" s="303"/>
      <c r="B742" s="303"/>
      <c r="C742" s="303"/>
      <c r="D742" s="303"/>
      <c r="E742" s="303"/>
      <c r="F742" s="303"/>
      <c r="G742" s="325"/>
      <c r="H742" s="303"/>
      <c r="I742" s="303"/>
    </row>
    <row r="743" spans="1:9" x14ac:dyDescent="0.25">
      <c r="A743" s="303"/>
      <c r="B743" s="303"/>
      <c r="C743" s="303"/>
      <c r="D743" s="303"/>
      <c r="E743" s="303"/>
      <c r="F743" s="303"/>
      <c r="G743" s="325"/>
      <c r="H743" s="303"/>
      <c r="I743" s="303"/>
    </row>
    <row r="744" spans="1:9" x14ac:dyDescent="0.25">
      <c r="A744" s="303"/>
      <c r="B744" s="303"/>
      <c r="C744" s="303"/>
      <c r="D744" s="303"/>
      <c r="E744" s="303"/>
      <c r="F744" s="303"/>
      <c r="G744" s="325"/>
      <c r="H744" s="303"/>
      <c r="I744" s="303"/>
    </row>
    <row r="745" spans="1:9" x14ac:dyDescent="0.25">
      <c r="A745" s="303"/>
      <c r="B745" s="303"/>
      <c r="C745" s="303"/>
      <c r="D745" s="303"/>
      <c r="E745" s="303"/>
      <c r="F745" s="303"/>
      <c r="G745" s="325"/>
      <c r="H745" s="303"/>
      <c r="I745" s="303"/>
    </row>
    <row r="746" spans="1:9" x14ac:dyDescent="0.25">
      <c r="A746" s="303"/>
      <c r="B746" s="303"/>
      <c r="C746" s="303"/>
      <c r="D746" s="303"/>
      <c r="E746" s="303"/>
      <c r="F746" s="303"/>
      <c r="G746" s="325"/>
      <c r="H746" s="303"/>
      <c r="I746" s="303"/>
    </row>
    <row r="747" spans="1:9" x14ac:dyDescent="0.25">
      <c r="A747" s="303"/>
      <c r="B747" s="303"/>
      <c r="C747" s="303"/>
      <c r="D747" s="303"/>
      <c r="E747" s="303"/>
      <c r="F747" s="303"/>
      <c r="G747" s="325"/>
      <c r="H747" s="303"/>
      <c r="I747" s="303"/>
    </row>
    <row r="748" spans="1:9" x14ac:dyDescent="0.25">
      <c r="A748" s="303"/>
      <c r="B748" s="303"/>
      <c r="C748" s="303"/>
      <c r="D748" s="303"/>
      <c r="E748" s="303"/>
      <c r="F748" s="303"/>
      <c r="G748" s="325"/>
      <c r="H748" s="303"/>
      <c r="I748" s="303"/>
    </row>
    <row r="749" spans="1:9" x14ac:dyDescent="0.25">
      <c r="A749" s="303"/>
      <c r="B749" s="303"/>
      <c r="C749" s="303"/>
      <c r="D749" s="303"/>
      <c r="E749" s="303"/>
      <c r="F749" s="303"/>
      <c r="G749" s="325"/>
      <c r="H749" s="303"/>
      <c r="I749" s="303"/>
    </row>
    <row r="750" spans="1:9" x14ac:dyDescent="0.25">
      <c r="A750" s="303"/>
      <c r="B750" s="303"/>
      <c r="C750" s="303"/>
      <c r="D750" s="303"/>
      <c r="E750" s="303"/>
      <c r="F750" s="303"/>
      <c r="G750" s="325"/>
      <c r="H750" s="303"/>
      <c r="I750" s="303"/>
    </row>
    <row r="751" spans="1:9" x14ac:dyDescent="0.25">
      <c r="A751" s="303"/>
      <c r="B751" s="303"/>
      <c r="C751" s="303"/>
      <c r="D751" s="303"/>
      <c r="E751" s="303"/>
      <c r="F751" s="303"/>
      <c r="G751" s="325"/>
      <c r="H751" s="303"/>
      <c r="I751" s="303"/>
    </row>
    <row r="752" spans="1:9" x14ac:dyDescent="0.25">
      <c r="A752" s="303"/>
      <c r="B752" s="303"/>
      <c r="C752" s="303"/>
      <c r="D752" s="303"/>
      <c r="E752" s="303"/>
      <c r="F752" s="303"/>
      <c r="G752" s="325"/>
      <c r="H752" s="303"/>
      <c r="I752" s="303"/>
    </row>
    <row r="753" spans="1:9" x14ac:dyDescent="0.25">
      <c r="A753" s="303"/>
      <c r="B753" s="303"/>
      <c r="C753" s="303"/>
      <c r="D753" s="303"/>
      <c r="E753" s="303"/>
      <c r="F753" s="303"/>
      <c r="G753" s="325"/>
      <c r="H753" s="303"/>
      <c r="I753" s="303"/>
    </row>
    <row r="754" spans="1:9" x14ac:dyDescent="0.25">
      <c r="A754" s="303"/>
      <c r="B754" s="303"/>
      <c r="C754" s="303"/>
      <c r="D754" s="303"/>
      <c r="E754" s="303"/>
      <c r="F754" s="303"/>
      <c r="G754" s="325"/>
      <c r="H754" s="303"/>
      <c r="I754" s="303"/>
    </row>
    <row r="755" spans="1:9" x14ac:dyDescent="0.25">
      <c r="A755" s="303"/>
      <c r="B755" s="303"/>
      <c r="C755" s="303"/>
      <c r="D755" s="303"/>
      <c r="E755" s="303"/>
      <c r="F755" s="303"/>
      <c r="G755" s="325"/>
      <c r="H755" s="303"/>
      <c r="I755" s="303"/>
    </row>
    <row r="756" spans="1:9" x14ac:dyDescent="0.25">
      <c r="A756" s="303"/>
      <c r="B756" s="303"/>
      <c r="C756" s="303"/>
      <c r="D756" s="303"/>
      <c r="E756" s="303"/>
      <c r="F756" s="303"/>
      <c r="G756" s="325"/>
      <c r="H756" s="303"/>
      <c r="I756" s="303"/>
    </row>
    <row r="757" spans="1:9" x14ac:dyDescent="0.25">
      <c r="A757" s="303"/>
      <c r="B757" s="303"/>
      <c r="C757" s="303"/>
      <c r="D757" s="303"/>
      <c r="E757" s="303"/>
      <c r="F757" s="303"/>
      <c r="G757" s="325"/>
      <c r="H757" s="303"/>
      <c r="I757" s="303"/>
    </row>
    <row r="758" spans="1:9" x14ac:dyDescent="0.25">
      <c r="A758" s="303"/>
      <c r="B758" s="303"/>
      <c r="C758" s="303"/>
      <c r="D758" s="303"/>
      <c r="E758" s="303"/>
      <c r="F758" s="303"/>
      <c r="G758" s="325"/>
      <c r="H758" s="303"/>
      <c r="I758" s="303"/>
    </row>
    <row r="759" spans="1:9" x14ac:dyDescent="0.25">
      <c r="A759" s="303"/>
      <c r="B759" s="303"/>
      <c r="C759" s="303"/>
      <c r="D759" s="303"/>
      <c r="E759" s="303"/>
      <c r="F759" s="303"/>
      <c r="G759" s="325"/>
      <c r="H759" s="303"/>
      <c r="I759" s="303"/>
    </row>
    <row r="760" spans="1:9" x14ac:dyDescent="0.25">
      <c r="A760" s="303"/>
      <c r="B760" s="303"/>
      <c r="C760" s="303"/>
      <c r="D760" s="303"/>
      <c r="E760" s="303"/>
      <c r="F760" s="303"/>
      <c r="G760" s="325"/>
      <c r="H760" s="303"/>
      <c r="I760" s="303"/>
    </row>
    <row r="761" spans="1:9" x14ac:dyDescent="0.25">
      <c r="A761" s="303"/>
      <c r="B761" s="303"/>
      <c r="C761" s="303"/>
      <c r="D761" s="303"/>
      <c r="E761" s="303"/>
      <c r="F761" s="303"/>
      <c r="G761" s="325"/>
      <c r="H761" s="303"/>
      <c r="I761" s="303"/>
    </row>
    <row r="762" spans="1:9" x14ac:dyDescent="0.25">
      <c r="A762" s="303"/>
      <c r="B762" s="303"/>
      <c r="C762" s="303"/>
      <c r="D762" s="303"/>
      <c r="E762" s="303"/>
      <c r="F762" s="303"/>
      <c r="G762" s="325"/>
      <c r="H762" s="303"/>
      <c r="I762" s="303"/>
    </row>
    <row r="763" spans="1:9" x14ac:dyDescent="0.25">
      <c r="A763" s="303"/>
      <c r="B763" s="303"/>
      <c r="C763" s="303"/>
      <c r="D763" s="303"/>
      <c r="E763" s="303"/>
      <c r="F763" s="303"/>
      <c r="G763" s="325"/>
      <c r="H763" s="303"/>
      <c r="I763" s="303"/>
    </row>
    <row r="764" spans="1:9" x14ac:dyDescent="0.25">
      <c r="A764" s="303"/>
      <c r="B764" s="303"/>
      <c r="C764" s="303"/>
      <c r="D764" s="303"/>
      <c r="E764" s="303"/>
      <c r="F764" s="303"/>
      <c r="G764" s="325"/>
      <c r="H764" s="303"/>
      <c r="I764" s="303"/>
    </row>
    <row r="765" spans="1:9" x14ac:dyDescent="0.25">
      <c r="A765" s="303"/>
      <c r="B765" s="303"/>
      <c r="C765" s="303"/>
      <c r="D765" s="303"/>
      <c r="E765" s="303"/>
      <c r="F765" s="303"/>
      <c r="G765" s="325"/>
      <c r="H765" s="303"/>
      <c r="I765" s="303"/>
    </row>
    <row r="766" spans="1:9" x14ac:dyDescent="0.25">
      <c r="A766" s="303"/>
      <c r="B766" s="303"/>
      <c r="C766" s="303"/>
      <c r="D766" s="303"/>
      <c r="E766" s="303"/>
      <c r="F766" s="303"/>
      <c r="G766" s="325"/>
      <c r="H766" s="303"/>
      <c r="I766" s="303"/>
    </row>
    <row r="767" spans="1:9" x14ac:dyDescent="0.25">
      <c r="A767" s="303"/>
      <c r="B767" s="303"/>
      <c r="C767" s="303"/>
      <c r="D767" s="303"/>
      <c r="E767" s="303"/>
      <c r="F767" s="303"/>
      <c r="G767" s="325"/>
      <c r="H767" s="303"/>
      <c r="I767" s="303"/>
    </row>
    <row r="768" spans="1:9" x14ac:dyDescent="0.25">
      <c r="A768" s="303"/>
      <c r="B768" s="303"/>
      <c r="C768" s="303"/>
      <c r="D768" s="303"/>
      <c r="E768" s="303"/>
      <c r="F768" s="303"/>
      <c r="G768" s="325"/>
      <c r="H768" s="303"/>
      <c r="I768" s="303"/>
    </row>
    <row r="769" spans="1:9" x14ac:dyDescent="0.25">
      <c r="A769" s="303"/>
      <c r="B769" s="303"/>
      <c r="C769" s="303"/>
      <c r="D769" s="303"/>
      <c r="E769" s="303"/>
      <c r="F769" s="303"/>
      <c r="G769" s="325"/>
      <c r="H769" s="303"/>
      <c r="I769" s="303"/>
    </row>
    <row r="770" spans="1:9" x14ac:dyDescent="0.25">
      <c r="A770" s="303"/>
      <c r="B770" s="303"/>
      <c r="C770" s="303"/>
      <c r="D770" s="303"/>
      <c r="E770" s="303"/>
      <c r="F770" s="303"/>
      <c r="G770" s="325"/>
      <c r="H770" s="303"/>
      <c r="I770" s="303"/>
    </row>
    <row r="771" spans="1:9" x14ac:dyDescent="0.25">
      <c r="A771" s="303"/>
      <c r="B771" s="303"/>
      <c r="C771" s="303"/>
      <c r="D771" s="303"/>
      <c r="E771" s="303"/>
      <c r="F771" s="303"/>
      <c r="G771" s="325"/>
      <c r="H771" s="303"/>
      <c r="I771" s="303"/>
    </row>
    <row r="772" spans="1:9" x14ac:dyDescent="0.25">
      <c r="A772" s="303"/>
      <c r="B772" s="303"/>
      <c r="C772" s="303"/>
      <c r="D772" s="303"/>
      <c r="E772" s="303"/>
      <c r="F772" s="303"/>
      <c r="G772" s="325"/>
      <c r="H772" s="303"/>
      <c r="I772" s="303"/>
    </row>
    <row r="773" spans="1:9" x14ac:dyDescent="0.25">
      <c r="A773" s="303"/>
      <c r="B773" s="303"/>
      <c r="C773" s="303"/>
      <c r="D773" s="303"/>
      <c r="E773" s="303"/>
      <c r="F773" s="303"/>
      <c r="G773" s="325"/>
      <c r="H773" s="303"/>
      <c r="I773" s="303"/>
    </row>
    <row r="774" spans="1:9" x14ac:dyDescent="0.25">
      <c r="A774" s="303"/>
      <c r="B774" s="303"/>
      <c r="C774" s="303"/>
      <c r="D774" s="303"/>
      <c r="E774" s="303"/>
      <c r="F774" s="303"/>
      <c r="G774" s="325"/>
      <c r="H774" s="303"/>
      <c r="I774" s="303"/>
    </row>
    <row r="775" spans="1:9" x14ac:dyDescent="0.25">
      <c r="A775" s="303"/>
      <c r="B775" s="303"/>
      <c r="C775" s="303"/>
      <c r="D775" s="303"/>
      <c r="E775" s="303"/>
      <c r="F775" s="303"/>
      <c r="G775" s="325"/>
      <c r="H775" s="303"/>
      <c r="I775" s="303"/>
    </row>
    <row r="776" spans="1:9" x14ac:dyDescent="0.25">
      <c r="A776" s="303"/>
      <c r="B776" s="303"/>
      <c r="C776" s="303"/>
      <c r="D776" s="303"/>
      <c r="E776" s="303"/>
      <c r="F776" s="303"/>
      <c r="G776" s="325"/>
      <c r="H776" s="303"/>
      <c r="I776" s="303"/>
    </row>
    <row r="777" spans="1:9" x14ac:dyDescent="0.25">
      <c r="A777" s="303"/>
      <c r="B777" s="303"/>
      <c r="C777" s="303"/>
      <c r="D777" s="303"/>
      <c r="E777" s="303"/>
      <c r="F777" s="303"/>
      <c r="G777" s="325"/>
      <c r="H777" s="303"/>
      <c r="I777" s="303"/>
    </row>
    <row r="778" spans="1:9" x14ac:dyDescent="0.25">
      <c r="A778" s="303"/>
      <c r="B778" s="303"/>
      <c r="C778" s="303"/>
      <c r="D778" s="303"/>
      <c r="E778" s="303"/>
      <c r="F778" s="303"/>
      <c r="G778" s="325"/>
      <c r="H778" s="303"/>
      <c r="I778" s="303"/>
    </row>
    <row r="779" spans="1:9" x14ac:dyDescent="0.25">
      <c r="A779" s="303"/>
      <c r="B779" s="303"/>
      <c r="C779" s="303"/>
      <c r="D779" s="303"/>
      <c r="E779" s="303"/>
      <c r="F779" s="303"/>
      <c r="G779" s="325"/>
      <c r="H779" s="303"/>
      <c r="I779" s="303"/>
    </row>
    <row r="780" spans="1:9" x14ac:dyDescent="0.25">
      <c r="A780" s="303"/>
      <c r="B780" s="303"/>
      <c r="C780" s="303"/>
      <c r="D780" s="303"/>
      <c r="E780" s="303"/>
      <c r="F780" s="303"/>
      <c r="G780" s="325"/>
      <c r="H780" s="303"/>
      <c r="I780" s="303"/>
    </row>
    <row r="781" spans="1:9" x14ac:dyDescent="0.25">
      <c r="A781" s="303"/>
      <c r="B781" s="303"/>
      <c r="C781" s="303"/>
      <c r="D781" s="303"/>
      <c r="E781" s="303"/>
      <c r="F781" s="303"/>
      <c r="G781" s="325"/>
      <c r="H781" s="303"/>
      <c r="I781" s="303"/>
    </row>
    <row r="782" spans="1:9" x14ac:dyDescent="0.25">
      <c r="A782" s="303"/>
      <c r="B782" s="303"/>
      <c r="C782" s="303"/>
      <c r="D782" s="303"/>
      <c r="E782" s="303"/>
      <c r="F782" s="303"/>
      <c r="G782" s="325"/>
      <c r="H782" s="303"/>
      <c r="I782" s="303"/>
    </row>
    <row r="783" spans="1:9" x14ac:dyDescent="0.25">
      <c r="A783" s="303"/>
      <c r="B783" s="303"/>
      <c r="C783" s="303"/>
      <c r="D783" s="303"/>
      <c r="E783" s="303"/>
      <c r="F783" s="303"/>
      <c r="G783" s="325"/>
      <c r="H783" s="303"/>
      <c r="I783" s="303"/>
    </row>
    <row r="784" spans="1:9" x14ac:dyDescent="0.25">
      <c r="A784" s="303"/>
      <c r="B784" s="303"/>
      <c r="C784" s="303"/>
      <c r="D784" s="303"/>
      <c r="E784" s="303"/>
      <c r="F784" s="303"/>
      <c r="G784" s="325"/>
      <c r="H784" s="303"/>
      <c r="I784" s="303"/>
    </row>
    <row r="785" spans="1:9" x14ac:dyDescent="0.25">
      <c r="A785" s="303"/>
      <c r="B785" s="303"/>
      <c r="C785" s="303"/>
      <c r="D785" s="303"/>
      <c r="E785" s="303"/>
      <c r="F785" s="303"/>
      <c r="G785" s="325"/>
      <c r="H785" s="303"/>
      <c r="I785" s="303"/>
    </row>
    <row r="786" spans="1:9" x14ac:dyDescent="0.25">
      <c r="A786" s="303"/>
      <c r="B786" s="303"/>
      <c r="C786" s="303"/>
      <c r="D786" s="303"/>
      <c r="E786" s="303"/>
      <c r="F786" s="303"/>
      <c r="G786" s="325"/>
      <c r="H786" s="303"/>
      <c r="I786" s="303"/>
    </row>
    <row r="787" spans="1:9" x14ac:dyDescent="0.25">
      <c r="A787" s="303"/>
      <c r="B787" s="303"/>
      <c r="C787" s="303"/>
      <c r="D787" s="303"/>
      <c r="E787" s="303"/>
      <c r="F787" s="303"/>
      <c r="G787" s="325"/>
      <c r="H787" s="303"/>
      <c r="I787" s="303"/>
    </row>
    <row r="788" spans="1:9" x14ac:dyDescent="0.25">
      <c r="A788" s="303"/>
      <c r="B788" s="303"/>
      <c r="C788" s="303"/>
      <c r="D788" s="303"/>
      <c r="E788" s="303"/>
      <c r="F788" s="303"/>
      <c r="G788" s="325"/>
      <c r="H788" s="303"/>
      <c r="I788" s="303"/>
    </row>
    <row r="789" spans="1:9" x14ac:dyDescent="0.25">
      <c r="A789" s="303"/>
      <c r="B789" s="303"/>
      <c r="C789" s="303"/>
      <c r="D789" s="303"/>
      <c r="E789" s="303"/>
      <c r="F789" s="303"/>
      <c r="G789" s="325"/>
      <c r="H789" s="303"/>
      <c r="I789" s="303"/>
    </row>
    <row r="790" spans="1:9" x14ac:dyDescent="0.25">
      <c r="A790" s="303"/>
      <c r="B790" s="303"/>
      <c r="C790" s="303"/>
      <c r="D790" s="303"/>
      <c r="E790" s="303"/>
      <c r="F790" s="303"/>
      <c r="G790" s="325"/>
      <c r="H790" s="303"/>
      <c r="I790" s="303"/>
    </row>
    <row r="791" spans="1:9" x14ac:dyDescent="0.25">
      <c r="A791" s="303"/>
      <c r="B791" s="303"/>
      <c r="C791" s="303"/>
      <c r="D791" s="303"/>
      <c r="E791" s="303"/>
      <c r="F791" s="303"/>
      <c r="G791" s="325"/>
      <c r="H791" s="303"/>
      <c r="I791" s="303"/>
    </row>
    <row r="792" spans="1:9" x14ac:dyDescent="0.25">
      <c r="A792" s="303"/>
      <c r="B792" s="303"/>
      <c r="C792" s="303"/>
      <c r="D792" s="303"/>
      <c r="E792" s="303"/>
      <c r="F792" s="303"/>
      <c r="G792" s="325"/>
      <c r="H792" s="303"/>
      <c r="I792" s="303"/>
    </row>
    <row r="793" spans="1:9" x14ac:dyDescent="0.25">
      <c r="A793" s="303"/>
      <c r="B793" s="303"/>
      <c r="C793" s="303"/>
      <c r="D793" s="303"/>
      <c r="E793" s="303"/>
      <c r="F793" s="303"/>
      <c r="G793" s="325"/>
      <c r="H793" s="303"/>
      <c r="I793" s="303"/>
    </row>
    <row r="794" spans="1:9" x14ac:dyDescent="0.25">
      <c r="A794" s="303"/>
      <c r="B794" s="303"/>
      <c r="C794" s="303"/>
      <c r="D794" s="303"/>
      <c r="E794" s="303"/>
      <c r="F794" s="303"/>
      <c r="G794" s="325"/>
      <c r="H794" s="303"/>
      <c r="I794" s="303"/>
    </row>
    <row r="795" spans="1:9" x14ac:dyDescent="0.25">
      <c r="A795" s="303"/>
      <c r="B795" s="303"/>
      <c r="C795" s="303"/>
      <c r="D795" s="303"/>
      <c r="E795" s="303"/>
      <c r="F795" s="303"/>
      <c r="G795" s="325"/>
      <c r="H795" s="303"/>
      <c r="I795" s="303"/>
    </row>
    <row r="796" spans="1:9" x14ac:dyDescent="0.25">
      <c r="A796" s="303"/>
      <c r="B796" s="303"/>
      <c r="C796" s="303"/>
      <c r="D796" s="303"/>
      <c r="E796" s="303"/>
      <c r="F796" s="303"/>
      <c r="G796" s="325"/>
      <c r="H796" s="303"/>
      <c r="I796" s="303"/>
    </row>
    <row r="797" spans="1:9" x14ac:dyDescent="0.25">
      <c r="A797" s="303"/>
      <c r="B797" s="303"/>
      <c r="C797" s="303"/>
      <c r="D797" s="303"/>
      <c r="E797" s="303"/>
      <c r="F797" s="303"/>
      <c r="G797" s="325"/>
      <c r="H797" s="303"/>
      <c r="I797" s="303"/>
    </row>
    <row r="798" spans="1:9" x14ac:dyDescent="0.25">
      <c r="A798" s="303"/>
      <c r="B798" s="303"/>
      <c r="C798" s="303"/>
      <c r="D798" s="303"/>
      <c r="E798" s="303"/>
      <c r="F798" s="303"/>
      <c r="G798" s="325"/>
      <c r="H798" s="303"/>
      <c r="I798" s="303"/>
    </row>
    <row r="799" spans="1:9" x14ac:dyDescent="0.25">
      <c r="A799" s="303"/>
      <c r="B799" s="303"/>
      <c r="C799" s="303"/>
      <c r="D799" s="303"/>
      <c r="E799" s="303"/>
      <c r="F799" s="303"/>
      <c r="G799" s="325"/>
      <c r="H799" s="303"/>
      <c r="I799" s="303"/>
    </row>
    <row r="800" spans="1:9" x14ac:dyDescent="0.25">
      <c r="A800" s="303"/>
      <c r="B800" s="303"/>
      <c r="C800" s="303"/>
      <c r="D800" s="303"/>
      <c r="E800" s="303"/>
      <c r="F800" s="303"/>
      <c r="G800" s="325"/>
      <c r="H800" s="303"/>
      <c r="I800" s="303"/>
    </row>
    <row r="801" spans="1:9" x14ac:dyDescent="0.25">
      <c r="A801" s="303"/>
      <c r="B801" s="303"/>
      <c r="C801" s="303"/>
      <c r="D801" s="303"/>
      <c r="E801" s="303"/>
      <c r="F801" s="303"/>
      <c r="G801" s="325"/>
      <c r="H801" s="303"/>
      <c r="I801" s="303"/>
    </row>
    <row r="802" spans="1:9" x14ac:dyDescent="0.25">
      <c r="A802" s="303"/>
      <c r="B802" s="303"/>
      <c r="C802" s="303"/>
      <c r="D802" s="303"/>
      <c r="E802" s="303"/>
      <c r="F802" s="303"/>
      <c r="G802" s="325"/>
      <c r="H802" s="303"/>
      <c r="I802" s="303"/>
    </row>
    <row r="803" spans="1:9" x14ac:dyDescent="0.25">
      <c r="A803" s="303"/>
      <c r="B803" s="303"/>
      <c r="C803" s="303"/>
      <c r="D803" s="303"/>
      <c r="E803" s="303"/>
      <c r="F803" s="303"/>
      <c r="G803" s="325"/>
      <c r="H803" s="303"/>
      <c r="I803" s="303"/>
    </row>
    <row r="804" spans="1:9" x14ac:dyDescent="0.25">
      <c r="A804" s="303"/>
      <c r="B804" s="303"/>
      <c r="C804" s="303"/>
      <c r="D804" s="303"/>
      <c r="E804" s="303"/>
      <c r="F804" s="303"/>
      <c r="G804" s="325"/>
      <c r="H804" s="303"/>
      <c r="I804" s="303"/>
    </row>
    <row r="805" spans="1:9" x14ac:dyDescent="0.25">
      <c r="A805" s="303"/>
      <c r="B805" s="303"/>
      <c r="C805" s="303"/>
      <c r="D805" s="303"/>
      <c r="E805" s="303"/>
      <c r="F805" s="303"/>
      <c r="G805" s="325"/>
      <c r="H805" s="303"/>
      <c r="I805" s="303"/>
    </row>
    <row r="806" spans="1:9" x14ac:dyDescent="0.25">
      <c r="A806" s="303"/>
      <c r="B806" s="303"/>
      <c r="C806" s="303"/>
      <c r="D806" s="303"/>
      <c r="E806" s="303"/>
      <c r="F806" s="303"/>
      <c r="G806" s="325"/>
      <c r="H806" s="303"/>
      <c r="I806" s="303"/>
    </row>
    <row r="807" spans="1:9" x14ac:dyDescent="0.25">
      <c r="A807" s="303"/>
      <c r="B807" s="303"/>
      <c r="C807" s="303"/>
      <c r="D807" s="303"/>
      <c r="E807" s="303"/>
      <c r="F807" s="303"/>
      <c r="G807" s="325"/>
      <c r="H807" s="303"/>
      <c r="I807" s="303"/>
    </row>
    <row r="808" spans="1:9" x14ac:dyDescent="0.25">
      <c r="A808" s="303"/>
      <c r="B808" s="303"/>
      <c r="C808" s="303"/>
      <c r="D808" s="303"/>
      <c r="E808" s="303"/>
      <c r="F808" s="303"/>
      <c r="G808" s="325"/>
      <c r="H808" s="303"/>
      <c r="I808" s="303"/>
    </row>
    <row r="809" spans="1:9" x14ac:dyDescent="0.25">
      <c r="A809" s="303"/>
      <c r="B809" s="303"/>
      <c r="C809" s="303"/>
      <c r="D809" s="303"/>
      <c r="E809" s="303"/>
      <c r="F809" s="303"/>
      <c r="G809" s="325"/>
      <c r="H809" s="303"/>
      <c r="I809" s="303"/>
    </row>
    <row r="810" spans="1:9" x14ac:dyDescent="0.25">
      <c r="A810" s="303"/>
      <c r="B810" s="303"/>
      <c r="C810" s="303"/>
      <c r="D810" s="303"/>
      <c r="E810" s="303"/>
      <c r="F810" s="303"/>
      <c r="G810" s="325"/>
      <c r="H810" s="303"/>
      <c r="I810" s="303"/>
    </row>
    <row r="811" spans="1:9" x14ac:dyDescent="0.25">
      <c r="A811" s="303"/>
      <c r="B811" s="303"/>
      <c r="C811" s="303"/>
      <c r="D811" s="303"/>
      <c r="E811" s="303"/>
      <c r="F811" s="303"/>
      <c r="G811" s="325"/>
      <c r="H811" s="303"/>
      <c r="I811" s="303"/>
    </row>
    <row r="812" spans="1:9" x14ac:dyDescent="0.25">
      <c r="A812" s="303"/>
      <c r="B812" s="303"/>
      <c r="C812" s="303"/>
      <c r="D812" s="303"/>
      <c r="E812" s="303"/>
      <c r="F812" s="303"/>
      <c r="G812" s="325"/>
      <c r="H812" s="303"/>
      <c r="I812" s="303"/>
    </row>
    <row r="813" spans="1:9" x14ac:dyDescent="0.25">
      <c r="A813" s="303"/>
      <c r="B813" s="303"/>
      <c r="C813" s="303"/>
      <c r="D813" s="303"/>
      <c r="E813" s="303"/>
      <c r="F813" s="303"/>
      <c r="G813" s="325"/>
      <c r="H813" s="303"/>
      <c r="I813" s="303"/>
    </row>
    <row r="814" spans="1:9" x14ac:dyDescent="0.25">
      <c r="A814" s="303"/>
      <c r="B814" s="303"/>
      <c r="C814" s="303"/>
      <c r="D814" s="303"/>
      <c r="E814" s="303"/>
      <c r="F814" s="303"/>
      <c r="G814" s="325"/>
      <c r="H814" s="303"/>
      <c r="I814" s="303"/>
    </row>
    <row r="815" spans="1:9" x14ac:dyDescent="0.25">
      <c r="A815" s="303"/>
      <c r="B815" s="303"/>
      <c r="C815" s="303"/>
      <c r="D815" s="303"/>
      <c r="E815" s="303"/>
      <c r="F815" s="303"/>
      <c r="G815" s="325"/>
      <c r="H815" s="303"/>
      <c r="I815" s="303"/>
    </row>
    <row r="816" spans="1:9" x14ac:dyDescent="0.25">
      <c r="A816" s="303"/>
      <c r="B816" s="303"/>
      <c r="C816" s="303"/>
      <c r="D816" s="303"/>
      <c r="E816" s="303"/>
      <c r="F816" s="303"/>
      <c r="G816" s="325"/>
      <c r="H816" s="303"/>
      <c r="I816" s="303"/>
    </row>
    <row r="817" spans="1:9" x14ac:dyDescent="0.25">
      <c r="A817" s="303"/>
      <c r="B817" s="303"/>
      <c r="C817" s="303"/>
      <c r="D817" s="303"/>
      <c r="E817" s="303"/>
      <c r="F817" s="303"/>
      <c r="G817" s="325"/>
      <c r="H817" s="303"/>
      <c r="I817" s="303"/>
    </row>
    <row r="818" spans="1:9" x14ac:dyDescent="0.25">
      <c r="A818" s="303"/>
      <c r="B818" s="303"/>
      <c r="C818" s="303"/>
      <c r="D818" s="303"/>
      <c r="E818" s="303"/>
      <c r="F818" s="303"/>
      <c r="G818" s="325"/>
      <c r="H818" s="303"/>
      <c r="I818" s="303"/>
    </row>
    <row r="819" spans="1:9" x14ac:dyDescent="0.25">
      <c r="A819" s="303"/>
      <c r="B819" s="303"/>
      <c r="C819" s="303"/>
      <c r="D819" s="303"/>
      <c r="E819" s="303"/>
      <c r="F819" s="303"/>
      <c r="G819" s="325"/>
      <c r="H819" s="303"/>
      <c r="I819" s="303"/>
    </row>
    <row r="820" spans="1:9" x14ac:dyDescent="0.25">
      <c r="A820" s="303"/>
      <c r="B820" s="303"/>
      <c r="C820" s="303"/>
      <c r="D820" s="303"/>
      <c r="E820" s="303"/>
      <c r="F820" s="303"/>
      <c r="G820" s="325"/>
      <c r="H820" s="303"/>
      <c r="I820" s="303"/>
    </row>
    <row r="821" spans="1:9" x14ac:dyDescent="0.25">
      <c r="A821" s="303"/>
      <c r="B821" s="303"/>
      <c r="C821" s="303"/>
      <c r="D821" s="303"/>
      <c r="E821" s="303"/>
      <c r="F821" s="303"/>
      <c r="G821" s="325"/>
      <c r="H821" s="303"/>
      <c r="I821" s="303"/>
    </row>
    <row r="822" spans="1:9" x14ac:dyDescent="0.25">
      <c r="A822" s="303"/>
      <c r="B822" s="303"/>
      <c r="C822" s="303"/>
      <c r="D822" s="303"/>
      <c r="E822" s="303"/>
      <c r="F822" s="303"/>
      <c r="G822" s="325"/>
      <c r="H822" s="303"/>
      <c r="I822" s="303"/>
    </row>
    <row r="823" spans="1:9" x14ac:dyDescent="0.25">
      <c r="A823" s="303"/>
      <c r="B823" s="303"/>
      <c r="C823" s="303"/>
      <c r="D823" s="303"/>
      <c r="E823" s="303"/>
      <c r="F823" s="303"/>
      <c r="G823" s="325"/>
      <c r="H823" s="303"/>
      <c r="I823" s="303"/>
    </row>
    <row r="824" spans="1:9" x14ac:dyDescent="0.25">
      <c r="A824" s="303"/>
      <c r="B824" s="303"/>
      <c r="C824" s="303"/>
      <c r="D824" s="303"/>
      <c r="E824" s="303"/>
      <c r="F824" s="303"/>
      <c r="G824" s="325"/>
      <c r="H824" s="303"/>
      <c r="I824" s="303"/>
    </row>
    <row r="825" spans="1:9" x14ac:dyDescent="0.25">
      <c r="A825" s="303"/>
      <c r="B825" s="303"/>
      <c r="C825" s="303"/>
      <c r="D825" s="303"/>
      <c r="E825" s="303"/>
      <c r="F825" s="303"/>
      <c r="G825" s="325"/>
      <c r="H825" s="303"/>
      <c r="I825" s="303"/>
    </row>
    <row r="826" spans="1:9" x14ac:dyDescent="0.25">
      <c r="A826" s="303"/>
      <c r="B826" s="303"/>
      <c r="C826" s="303"/>
      <c r="D826" s="303"/>
      <c r="E826" s="303"/>
      <c r="F826" s="303"/>
      <c r="G826" s="325"/>
      <c r="H826" s="303"/>
      <c r="I826" s="303"/>
    </row>
    <row r="827" spans="1:9" x14ac:dyDescent="0.25">
      <c r="A827" s="303"/>
      <c r="B827" s="303"/>
      <c r="C827" s="303"/>
      <c r="D827" s="303"/>
      <c r="E827" s="303"/>
      <c r="F827" s="303"/>
      <c r="G827" s="325"/>
      <c r="H827" s="303"/>
      <c r="I827" s="303"/>
    </row>
    <row r="828" spans="1:9" x14ac:dyDescent="0.25">
      <c r="A828" s="303"/>
      <c r="B828" s="303"/>
      <c r="C828" s="303"/>
      <c r="D828" s="303"/>
      <c r="E828" s="303"/>
      <c r="F828" s="303"/>
      <c r="G828" s="325"/>
      <c r="H828" s="303"/>
      <c r="I828" s="303"/>
    </row>
    <row r="829" spans="1:9" x14ac:dyDescent="0.25">
      <c r="A829" s="303"/>
      <c r="B829" s="303"/>
      <c r="C829" s="303"/>
      <c r="D829" s="303"/>
      <c r="E829" s="303"/>
      <c r="F829" s="303"/>
      <c r="G829" s="325"/>
      <c r="H829" s="303"/>
      <c r="I829" s="303"/>
    </row>
    <row r="830" spans="1:9" x14ac:dyDescent="0.25">
      <c r="A830" s="303"/>
      <c r="B830" s="303"/>
      <c r="C830" s="303"/>
      <c r="D830" s="303"/>
      <c r="E830" s="303"/>
      <c r="F830" s="303"/>
      <c r="G830" s="325"/>
      <c r="H830" s="303"/>
      <c r="I830" s="303"/>
    </row>
    <row r="831" spans="1:9" x14ac:dyDescent="0.25">
      <c r="A831" s="303"/>
      <c r="B831" s="303"/>
      <c r="C831" s="303"/>
      <c r="D831" s="303"/>
      <c r="E831" s="303"/>
      <c r="F831" s="303"/>
      <c r="G831" s="325"/>
      <c r="H831" s="303"/>
      <c r="I831" s="303"/>
    </row>
    <row r="832" spans="1:9" x14ac:dyDescent="0.25">
      <c r="A832" s="303"/>
      <c r="B832" s="303"/>
      <c r="C832" s="303"/>
      <c r="D832" s="303"/>
      <c r="E832" s="303"/>
      <c r="F832" s="303"/>
      <c r="G832" s="325"/>
      <c r="H832" s="303"/>
      <c r="I832" s="303"/>
    </row>
    <row r="833" spans="1:9" x14ac:dyDescent="0.25">
      <c r="A833" s="303"/>
      <c r="B833" s="303"/>
      <c r="C833" s="303"/>
      <c r="D833" s="303"/>
      <c r="E833" s="303"/>
      <c r="F833" s="303"/>
      <c r="G833" s="325"/>
      <c r="H833" s="303"/>
      <c r="I833" s="303"/>
    </row>
    <row r="834" spans="1:9" x14ac:dyDescent="0.25">
      <c r="A834" s="303"/>
      <c r="B834" s="303"/>
      <c r="C834" s="303"/>
      <c r="D834" s="303"/>
      <c r="E834" s="303"/>
      <c r="F834" s="303"/>
      <c r="G834" s="325"/>
      <c r="H834" s="303"/>
      <c r="I834" s="303"/>
    </row>
    <row r="835" spans="1:9" x14ac:dyDescent="0.25">
      <c r="A835" s="303"/>
      <c r="B835" s="303"/>
      <c r="C835" s="303"/>
      <c r="D835" s="303"/>
      <c r="E835" s="303"/>
      <c r="F835" s="303"/>
      <c r="G835" s="325"/>
      <c r="H835" s="303"/>
      <c r="I835" s="303"/>
    </row>
    <row r="836" spans="1:9" x14ac:dyDescent="0.25">
      <c r="A836" s="303"/>
      <c r="B836" s="303"/>
      <c r="C836" s="303"/>
      <c r="D836" s="303"/>
      <c r="E836" s="303"/>
      <c r="F836" s="303"/>
      <c r="G836" s="325"/>
      <c r="H836" s="303"/>
      <c r="I836" s="303"/>
    </row>
    <row r="837" spans="1:9" x14ac:dyDescent="0.25">
      <c r="A837" s="303"/>
      <c r="B837" s="303"/>
      <c r="C837" s="303"/>
      <c r="D837" s="303"/>
      <c r="E837" s="303"/>
      <c r="F837" s="303"/>
      <c r="G837" s="325"/>
      <c r="H837" s="303"/>
      <c r="I837" s="303"/>
    </row>
    <row r="838" spans="1:9" x14ac:dyDescent="0.25">
      <c r="A838" s="303"/>
      <c r="B838" s="303"/>
      <c r="C838" s="303"/>
      <c r="D838" s="303"/>
      <c r="E838" s="303"/>
      <c r="F838" s="303"/>
      <c r="G838" s="325"/>
      <c r="H838" s="303"/>
      <c r="I838" s="303"/>
    </row>
    <row r="839" spans="1:9" x14ac:dyDescent="0.25">
      <c r="A839" s="303"/>
      <c r="B839" s="303"/>
      <c r="C839" s="303"/>
      <c r="D839" s="303"/>
      <c r="E839" s="303"/>
      <c r="F839" s="303"/>
      <c r="G839" s="325"/>
      <c r="H839" s="303"/>
      <c r="I839" s="303"/>
    </row>
    <row r="840" spans="1:9" x14ac:dyDescent="0.25">
      <c r="A840" s="303"/>
      <c r="B840" s="303"/>
      <c r="C840" s="303"/>
      <c r="D840" s="303"/>
      <c r="E840" s="303"/>
      <c r="F840" s="303"/>
      <c r="G840" s="325"/>
      <c r="H840" s="303"/>
      <c r="I840" s="303"/>
    </row>
    <row r="841" spans="1:9" x14ac:dyDescent="0.25">
      <c r="A841" s="303"/>
      <c r="B841" s="303"/>
      <c r="C841" s="303"/>
      <c r="D841" s="303"/>
      <c r="E841" s="303"/>
      <c r="F841" s="303"/>
      <c r="G841" s="325"/>
      <c r="H841" s="303"/>
      <c r="I841" s="303"/>
    </row>
    <row r="842" spans="1:9" x14ac:dyDescent="0.25">
      <c r="A842" s="303"/>
      <c r="B842" s="303"/>
      <c r="C842" s="303"/>
      <c r="D842" s="303"/>
      <c r="E842" s="303"/>
      <c r="F842" s="303"/>
      <c r="G842" s="325"/>
      <c r="H842" s="303"/>
      <c r="I842" s="303"/>
    </row>
    <row r="843" spans="1:9" x14ac:dyDescent="0.25">
      <c r="A843" s="303"/>
      <c r="B843" s="303"/>
      <c r="C843" s="303"/>
      <c r="D843" s="303"/>
      <c r="E843" s="303"/>
      <c r="F843" s="303"/>
      <c r="G843" s="325"/>
      <c r="H843" s="303"/>
      <c r="I843" s="303"/>
    </row>
    <row r="844" spans="1:9" x14ac:dyDescent="0.25">
      <c r="A844" s="303"/>
      <c r="B844" s="303"/>
      <c r="C844" s="303"/>
      <c r="D844" s="303"/>
      <c r="E844" s="303"/>
      <c r="F844" s="303"/>
      <c r="G844" s="325"/>
      <c r="H844" s="303"/>
      <c r="I844" s="303"/>
    </row>
    <row r="845" spans="1:9" x14ac:dyDescent="0.25">
      <c r="A845" s="303"/>
      <c r="B845" s="303"/>
      <c r="C845" s="303"/>
      <c r="D845" s="303"/>
      <c r="E845" s="303"/>
      <c r="F845" s="303"/>
      <c r="G845" s="325"/>
      <c r="H845" s="303"/>
      <c r="I845" s="303"/>
    </row>
    <row r="846" spans="1:9" x14ac:dyDescent="0.25">
      <c r="A846" s="303"/>
      <c r="B846" s="303"/>
      <c r="C846" s="303"/>
      <c r="D846" s="303"/>
      <c r="E846" s="303"/>
      <c r="F846" s="303"/>
      <c r="G846" s="325"/>
      <c r="H846" s="303"/>
      <c r="I846" s="303"/>
    </row>
    <row r="847" spans="1:9" x14ac:dyDescent="0.25">
      <c r="A847" s="303"/>
      <c r="B847" s="303"/>
      <c r="C847" s="303"/>
      <c r="D847" s="303"/>
      <c r="E847" s="303"/>
      <c r="F847" s="303"/>
      <c r="G847" s="325"/>
      <c r="H847" s="303"/>
      <c r="I847" s="303"/>
    </row>
    <row r="848" spans="1:9" x14ac:dyDescent="0.25">
      <c r="A848" s="303"/>
      <c r="B848" s="303"/>
      <c r="C848" s="303"/>
      <c r="D848" s="303"/>
      <c r="E848" s="303"/>
      <c r="F848" s="303"/>
      <c r="G848" s="325"/>
      <c r="H848" s="303"/>
      <c r="I848" s="303"/>
    </row>
    <row r="849" spans="1:9" x14ac:dyDescent="0.25">
      <c r="A849" s="303"/>
      <c r="B849" s="303"/>
      <c r="C849" s="303"/>
      <c r="D849" s="303"/>
      <c r="E849" s="303"/>
      <c r="F849" s="303"/>
      <c r="G849" s="325"/>
      <c r="H849" s="303"/>
      <c r="I849" s="303"/>
    </row>
    <row r="850" spans="1:9" x14ac:dyDescent="0.25">
      <c r="A850" s="303"/>
      <c r="B850" s="303"/>
      <c r="C850" s="303"/>
      <c r="D850" s="303"/>
      <c r="E850" s="303"/>
      <c r="F850" s="303"/>
      <c r="G850" s="325"/>
      <c r="H850" s="303"/>
      <c r="I850" s="303"/>
    </row>
    <row r="851" spans="1:9" x14ac:dyDescent="0.25">
      <c r="A851" s="303"/>
      <c r="B851" s="303"/>
      <c r="C851" s="303"/>
      <c r="D851" s="303"/>
      <c r="E851" s="303"/>
      <c r="F851" s="303"/>
      <c r="G851" s="325"/>
      <c r="H851" s="303"/>
      <c r="I851" s="303"/>
    </row>
    <row r="852" spans="1:9" x14ac:dyDescent="0.25">
      <c r="A852" s="303"/>
      <c r="B852" s="303"/>
      <c r="C852" s="303"/>
      <c r="D852" s="303"/>
      <c r="E852" s="303"/>
      <c r="F852" s="303"/>
      <c r="G852" s="325"/>
      <c r="H852" s="303"/>
      <c r="I852" s="303"/>
    </row>
    <row r="853" spans="1:9" x14ac:dyDescent="0.25">
      <c r="A853" s="303"/>
      <c r="B853" s="303"/>
      <c r="C853" s="303"/>
      <c r="D853" s="303"/>
      <c r="E853" s="303"/>
      <c r="F853" s="303"/>
      <c r="G853" s="325"/>
      <c r="H853" s="303"/>
      <c r="I853" s="303"/>
    </row>
    <row r="854" spans="1:9" x14ac:dyDescent="0.25">
      <c r="A854" s="303"/>
      <c r="B854" s="303"/>
      <c r="C854" s="303"/>
      <c r="D854" s="303"/>
      <c r="E854" s="303"/>
      <c r="F854" s="303"/>
      <c r="G854" s="325"/>
      <c r="H854" s="303"/>
      <c r="I854" s="303"/>
    </row>
    <row r="855" spans="1:9" x14ac:dyDescent="0.25">
      <c r="A855" s="303"/>
      <c r="B855" s="303"/>
      <c r="C855" s="303"/>
      <c r="D855" s="303"/>
      <c r="E855" s="303"/>
      <c r="F855" s="303"/>
      <c r="G855" s="325"/>
      <c r="H855" s="303"/>
      <c r="I855" s="303"/>
    </row>
    <row r="856" spans="1:9" x14ac:dyDescent="0.25">
      <c r="A856" s="303"/>
      <c r="B856" s="303"/>
      <c r="C856" s="303"/>
      <c r="D856" s="303"/>
      <c r="E856" s="303"/>
      <c r="F856" s="303"/>
      <c r="G856" s="325"/>
      <c r="H856" s="303"/>
      <c r="I856" s="303"/>
    </row>
    <row r="857" spans="1:9" x14ac:dyDescent="0.25">
      <c r="A857" s="303"/>
      <c r="B857" s="303"/>
      <c r="C857" s="303"/>
      <c r="D857" s="303"/>
      <c r="E857" s="303"/>
      <c r="F857" s="303"/>
      <c r="G857" s="325"/>
      <c r="H857" s="303"/>
      <c r="I857" s="303"/>
    </row>
    <row r="858" spans="1:9" x14ac:dyDescent="0.25">
      <c r="A858" s="303"/>
      <c r="B858" s="303"/>
      <c r="C858" s="303"/>
      <c r="D858" s="303"/>
      <c r="E858" s="303"/>
      <c r="F858" s="303"/>
      <c r="G858" s="325"/>
      <c r="H858" s="303"/>
      <c r="I858" s="303"/>
    </row>
    <row r="859" spans="1:9" x14ac:dyDescent="0.25">
      <c r="A859" s="303"/>
      <c r="B859" s="303"/>
      <c r="C859" s="303"/>
      <c r="D859" s="303"/>
      <c r="E859" s="303"/>
      <c r="F859" s="303"/>
      <c r="G859" s="325"/>
      <c r="H859" s="303"/>
      <c r="I859" s="303"/>
    </row>
    <row r="860" spans="1:9" x14ac:dyDescent="0.25">
      <c r="A860" s="303"/>
      <c r="B860" s="303"/>
      <c r="C860" s="303"/>
      <c r="D860" s="303"/>
      <c r="E860" s="303"/>
      <c r="F860" s="303"/>
      <c r="G860" s="325"/>
      <c r="H860" s="303"/>
      <c r="I860" s="303"/>
    </row>
    <row r="861" spans="1:9" x14ac:dyDescent="0.25">
      <c r="A861" s="303"/>
      <c r="B861" s="303"/>
      <c r="C861" s="303"/>
      <c r="D861" s="303"/>
      <c r="E861" s="303"/>
      <c r="F861" s="303"/>
      <c r="G861" s="325"/>
      <c r="H861" s="303"/>
      <c r="I861" s="303"/>
    </row>
    <row r="862" spans="1:9" x14ac:dyDescent="0.25">
      <c r="A862" s="303"/>
      <c r="B862" s="303"/>
      <c r="C862" s="303"/>
      <c r="D862" s="303"/>
      <c r="E862" s="303"/>
      <c r="F862" s="303"/>
      <c r="G862" s="325"/>
      <c r="H862" s="303"/>
      <c r="I862" s="303"/>
    </row>
    <row r="863" spans="1:9" x14ac:dyDescent="0.25">
      <c r="A863" s="303"/>
      <c r="B863" s="303"/>
      <c r="C863" s="303"/>
      <c r="D863" s="303"/>
      <c r="E863" s="303"/>
      <c r="F863" s="303"/>
      <c r="G863" s="325"/>
      <c r="H863" s="303"/>
      <c r="I863" s="303"/>
    </row>
    <row r="864" spans="1:9" x14ac:dyDescent="0.25">
      <c r="A864" s="303"/>
      <c r="B864" s="303"/>
      <c r="C864" s="303"/>
      <c r="D864" s="303"/>
      <c r="E864" s="303"/>
      <c r="F864" s="303"/>
      <c r="G864" s="325"/>
      <c r="H864" s="303"/>
      <c r="I864" s="303"/>
    </row>
    <row r="865" spans="1:9" x14ac:dyDescent="0.25">
      <c r="A865" s="303"/>
      <c r="B865" s="303"/>
      <c r="C865" s="303"/>
      <c r="D865" s="303"/>
      <c r="E865" s="303"/>
      <c r="F865" s="303"/>
      <c r="G865" s="325"/>
      <c r="H865" s="303"/>
      <c r="I865" s="303"/>
    </row>
    <row r="866" spans="1:9" x14ac:dyDescent="0.25">
      <c r="A866" s="303"/>
      <c r="B866" s="303"/>
      <c r="C866" s="303"/>
      <c r="D866" s="303"/>
      <c r="E866" s="303"/>
      <c r="F866" s="303"/>
      <c r="G866" s="325"/>
      <c r="H866" s="303"/>
      <c r="I866" s="303"/>
    </row>
    <row r="867" spans="1:9" x14ac:dyDescent="0.25">
      <c r="A867" s="303"/>
      <c r="B867" s="303"/>
      <c r="C867" s="303"/>
      <c r="D867" s="303"/>
      <c r="E867" s="303"/>
      <c r="F867" s="303"/>
      <c r="G867" s="325"/>
      <c r="H867" s="303"/>
      <c r="I867" s="303"/>
    </row>
    <row r="868" spans="1:9" x14ac:dyDescent="0.25">
      <c r="A868" s="303"/>
      <c r="B868" s="303"/>
      <c r="C868" s="303"/>
      <c r="D868" s="303"/>
      <c r="E868" s="303"/>
      <c r="F868" s="303"/>
      <c r="G868" s="325"/>
      <c r="H868" s="303"/>
      <c r="I868" s="303"/>
    </row>
    <row r="869" spans="1:9" x14ac:dyDescent="0.25">
      <c r="A869" s="303"/>
      <c r="B869" s="303"/>
      <c r="C869" s="303"/>
      <c r="D869" s="303"/>
      <c r="E869" s="303"/>
      <c r="F869" s="303"/>
      <c r="G869" s="325"/>
      <c r="H869" s="303"/>
      <c r="I869" s="303"/>
    </row>
    <row r="870" spans="1:9" x14ac:dyDescent="0.25">
      <c r="A870" s="303"/>
      <c r="B870" s="303"/>
      <c r="C870" s="303"/>
      <c r="D870" s="303"/>
      <c r="E870" s="303"/>
      <c r="F870" s="303"/>
      <c r="G870" s="325"/>
      <c r="H870" s="303"/>
      <c r="I870" s="303"/>
    </row>
    <row r="871" spans="1:9" x14ac:dyDescent="0.25">
      <c r="A871" s="303"/>
      <c r="B871" s="303"/>
      <c r="C871" s="303"/>
      <c r="D871" s="303"/>
      <c r="E871" s="303"/>
      <c r="F871" s="303"/>
      <c r="G871" s="325"/>
      <c r="H871" s="303"/>
      <c r="I871" s="303"/>
    </row>
    <row r="872" spans="1:9" x14ac:dyDescent="0.25">
      <c r="A872" s="303"/>
      <c r="B872" s="303"/>
      <c r="C872" s="303"/>
      <c r="D872" s="303"/>
      <c r="E872" s="303"/>
      <c r="F872" s="303"/>
      <c r="G872" s="325"/>
      <c r="H872" s="303"/>
      <c r="I872" s="303"/>
    </row>
    <row r="873" spans="1:9" x14ac:dyDescent="0.25">
      <c r="A873" s="303"/>
      <c r="B873" s="303"/>
      <c r="C873" s="303"/>
      <c r="D873" s="303"/>
      <c r="E873" s="303"/>
      <c r="F873" s="303"/>
      <c r="G873" s="325"/>
      <c r="H873" s="303"/>
      <c r="I873" s="303"/>
    </row>
    <row r="874" spans="1:9" x14ac:dyDescent="0.25">
      <c r="A874" s="303"/>
      <c r="B874" s="303"/>
      <c r="C874" s="303"/>
      <c r="D874" s="303"/>
      <c r="E874" s="303"/>
      <c r="F874" s="303"/>
      <c r="G874" s="325"/>
      <c r="H874" s="303"/>
      <c r="I874" s="303"/>
    </row>
    <row r="875" spans="1:9" x14ac:dyDescent="0.25">
      <c r="A875" s="303"/>
      <c r="B875" s="303"/>
      <c r="C875" s="303"/>
      <c r="D875" s="303"/>
      <c r="E875" s="303"/>
      <c r="F875" s="303"/>
      <c r="G875" s="325"/>
      <c r="H875" s="303"/>
      <c r="I875" s="303"/>
    </row>
    <row r="876" spans="1:9" x14ac:dyDescent="0.25">
      <c r="A876" s="303"/>
      <c r="B876" s="303"/>
      <c r="C876" s="303"/>
      <c r="D876" s="303"/>
      <c r="E876" s="303"/>
      <c r="F876" s="303"/>
      <c r="G876" s="325"/>
      <c r="H876" s="303"/>
      <c r="I876" s="303"/>
    </row>
    <row r="877" spans="1:9" x14ac:dyDescent="0.25">
      <c r="A877" s="303"/>
      <c r="B877" s="303"/>
      <c r="C877" s="303"/>
      <c r="D877" s="303"/>
      <c r="E877" s="303"/>
      <c r="F877" s="303"/>
      <c r="G877" s="325"/>
      <c r="H877" s="303"/>
      <c r="I877" s="303"/>
    </row>
    <row r="878" spans="1:9" x14ac:dyDescent="0.25">
      <c r="A878" s="303"/>
      <c r="B878" s="303"/>
      <c r="C878" s="303"/>
      <c r="D878" s="303"/>
      <c r="E878" s="303"/>
      <c r="F878" s="303"/>
      <c r="G878" s="325"/>
      <c r="H878" s="303"/>
      <c r="I878" s="303"/>
    </row>
    <row r="879" spans="1:9" x14ac:dyDescent="0.25">
      <c r="A879" s="303"/>
      <c r="B879" s="303"/>
      <c r="C879" s="303"/>
      <c r="D879" s="303"/>
      <c r="E879" s="303"/>
      <c r="F879" s="303"/>
      <c r="G879" s="325"/>
      <c r="H879" s="303"/>
      <c r="I879" s="303"/>
    </row>
    <row r="880" spans="1:9" x14ac:dyDescent="0.25">
      <c r="A880" s="303"/>
      <c r="B880" s="303"/>
      <c r="C880" s="303"/>
      <c r="D880" s="303"/>
      <c r="E880" s="303"/>
      <c r="F880" s="303"/>
      <c r="G880" s="325"/>
      <c r="H880" s="303"/>
      <c r="I880" s="303"/>
    </row>
    <row r="881" spans="1:9" x14ac:dyDescent="0.25">
      <c r="A881" s="303"/>
      <c r="B881" s="303"/>
      <c r="C881" s="303"/>
      <c r="D881" s="303"/>
      <c r="E881" s="303"/>
      <c r="F881" s="303"/>
      <c r="G881" s="325"/>
      <c r="H881" s="303"/>
      <c r="I881" s="303"/>
    </row>
    <row r="882" spans="1:9" x14ac:dyDescent="0.25">
      <c r="A882" s="303"/>
      <c r="B882" s="303"/>
      <c r="C882" s="303"/>
      <c r="D882" s="303"/>
      <c r="E882" s="303"/>
      <c r="F882" s="303"/>
      <c r="G882" s="325"/>
      <c r="H882" s="303"/>
      <c r="I882" s="303"/>
    </row>
    <row r="883" spans="1:9" x14ac:dyDescent="0.25">
      <c r="A883" s="303"/>
      <c r="B883" s="303"/>
      <c r="C883" s="303"/>
      <c r="D883" s="303"/>
      <c r="E883" s="303"/>
      <c r="F883" s="303"/>
      <c r="G883" s="325"/>
      <c r="H883" s="303"/>
      <c r="I883" s="303"/>
    </row>
    <row r="884" spans="1:9" x14ac:dyDescent="0.25">
      <c r="A884" s="303"/>
      <c r="B884" s="303"/>
      <c r="C884" s="303"/>
      <c r="D884" s="303"/>
      <c r="E884" s="303"/>
      <c r="F884" s="303"/>
      <c r="G884" s="325"/>
      <c r="H884" s="303"/>
      <c r="I884" s="303"/>
    </row>
    <row r="885" spans="1:9" x14ac:dyDescent="0.25">
      <c r="A885" s="303"/>
      <c r="B885" s="303"/>
      <c r="C885" s="303"/>
      <c r="D885" s="303"/>
      <c r="E885" s="303"/>
      <c r="F885" s="303"/>
      <c r="G885" s="325"/>
      <c r="H885" s="303"/>
      <c r="I885" s="303"/>
    </row>
    <row r="886" spans="1:9" x14ac:dyDescent="0.25">
      <c r="A886" s="303"/>
      <c r="B886" s="303"/>
      <c r="C886" s="303"/>
      <c r="D886" s="303"/>
      <c r="E886" s="303"/>
      <c r="F886" s="303"/>
      <c r="G886" s="325"/>
      <c r="H886" s="303"/>
      <c r="I886" s="303"/>
    </row>
    <row r="887" spans="1:9" x14ac:dyDescent="0.25">
      <c r="A887" s="303"/>
      <c r="B887" s="303"/>
      <c r="C887" s="303"/>
      <c r="D887" s="303"/>
      <c r="E887" s="303"/>
      <c r="F887" s="303"/>
      <c r="G887" s="325"/>
      <c r="H887" s="303"/>
      <c r="I887" s="303"/>
    </row>
    <row r="888" spans="1:9" x14ac:dyDescent="0.25">
      <c r="A888" s="303"/>
      <c r="B888" s="303"/>
      <c r="C888" s="303"/>
      <c r="D888" s="303"/>
      <c r="E888" s="303"/>
      <c r="F888" s="303"/>
      <c r="G888" s="325"/>
      <c r="H888" s="303"/>
      <c r="I888" s="303"/>
    </row>
    <row r="889" spans="1:9" x14ac:dyDescent="0.25">
      <c r="A889" s="303"/>
      <c r="B889" s="303"/>
      <c r="C889" s="303"/>
      <c r="D889" s="303"/>
      <c r="E889" s="303"/>
      <c r="F889" s="303"/>
      <c r="G889" s="325"/>
      <c r="H889" s="303"/>
      <c r="I889" s="303"/>
    </row>
    <row r="890" spans="1:9" x14ac:dyDescent="0.25">
      <c r="A890" s="303"/>
      <c r="B890" s="303"/>
      <c r="C890" s="303"/>
      <c r="D890" s="303"/>
      <c r="E890" s="303"/>
      <c r="F890" s="303"/>
      <c r="G890" s="325"/>
      <c r="H890" s="303"/>
      <c r="I890" s="303"/>
    </row>
    <row r="891" spans="1:9" x14ac:dyDescent="0.25">
      <c r="A891" s="303"/>
      <c r="B891" s="303"/>
      <c r="C891" s="303"/>
      <c r="D891" s="303"/>
      <c r="E891" s="303"/>
      <c r="F891" s="303"/>
      <c r="G891" s="325"/>
      <c r="H891" s="303"/>
      <c r="I891" s="303"/>
    </row>
    <row r="892" spans="1:9" x14ac:dyDescent="0.25">
      <c r="A892" s="303"/>
      <c r="B892" s="303"/>
      <c r="C892" s="303"/>
      <c r="D892" s="303"/>
      <c r="E892" s="303"/>
      <c r="F892" s="303"/>
      <c r="G892" s="325"/>
      <c r="H892" s="303"/>
      <c r="I892" s="303"/>
    </row>
    <row r="893" spans="1:9" x14ac:dyDescent="0.25">
      <c r="A893" s="303"/>
      <c r="B893" s="303"/>
      <c r="C893" s="303"/>
      <c r="D893" s="303"/>
      <c r="E893" s="303"/>
      <c r="F893" s="303"/>
      <c r="G893" s="325"/>
      <c r="H893" s="303"/>
      <c r="I893" s="303"/>
    </row>
    <row r="894" spans="1:9" x14ac:dyDescent="0.25">
      <c r="A894" s="303"/>
      <c r="B894" s="303"/>
      <c r="C894" s="303"/>
      <c r="D894" s="303"/>
      <c r="E894" s="303"/>
      <c r="F894" s="303"/>
      <c r="G894" s="325"/>
      <c r="H894" s="303"/>
      <c r="I894" s="303"/>
    </row>
    <row r="895" spans="1:9" x14ac:dyDescent="0.25">
      <c r="A895" s="303"/>
      <c r="B895" s="303"/>
      <c r="C895" s="303"/>
      <c r="D895" s="303"/>
      <c r="E895" s="303"/>
      <c r="F895" s="303"/>
      <c r="G895" s="325"/>
      <c r="H895" s="303"/>
      <c r="I895" s="303"/>
    </row>
    <row r="896" spans="1:9" x14ac:dyDescent="0.25">
      <c r="A896" s="303"/>
      <c r="B896" s="303"/>
      <c r="C896" s="303"/>
      <c r="D896" s="303"/>
      <c r="E896" s="303"/>
      <c r="F896" s="303"/>
      <c r="G896" s="325"/>
      <c r="H896" s="303"/>
      <c r="I896" s="303"/>
    </row>
    <row r="897" spans="1:9" x14ac:dyDescent="0.25">
      <c r="A897" s="303"/>
      <c r="B897" s="303"/>
      <c r="C897" s="303"/>
      <c r="D897" s="303"/>
      <c r="E897" s="303"/>
      <c r="F897" s="303"/>
      <c r="G897" s="325"/>
      <c r="H897" s="303"/>
      <c r="I897" s="303"/>
    </row>
    <row r="898" spans="1:9" x14ac:dyDescent="0.25">
      <c r="A898" s="303"/>
      <c r="B898" s="303"/>
      <c r="C898" s="303"/>
      <c r="D898" s="303"/>
      <c r="E898" s="303"/>
      <c r="F898" s="303"/>
      <c r="G898" s="325"/>
      <c r="H898" s="303"/>
      <c r="I898" s="303"/>
    </row>
    <row r="899" spans="1:9" x14ac:dyDescent="0.25">
      <c r="A899" s="303"/>
      <c r="B899" s="303"/>
      <c r="C899" s="303"/>
      <c r="D899" s="303"/>
      <c r="E899" s="303"/>
      <c r="F899" s="303"/>
      <c r="G899" s="325"/>
      <c r="H899" s="303"/>
      <c r="I899" s="303"/>
    </row>
    <row r="900" spans="1:9" x14ac:dyDescent="0.25">
      <c r="A900" s="303"/>
      <c r="B900" s="303"/>
      <c r="C900" s="303"/>
      <c r="D900" s="303"/>
      <c r="E900" s="303"/>
      <c r="F900" s="303"/>
      <c r="G900" s="325"/>
      <c r="H900" s="303"/>
      <c r="I900" s="303"/>
    </row>
    <row r="901" spans="1:9" x14ac:dyDescent="0.25">
      <c r="A901" s="303"/>
      <c r="B901" s="303"/>
      <c r="C901" s="303"/>
      <c r="D901" s="303"/>
      <c r="E901" s="303"/>
      <c r="F901" s="303"/>
      <c r="G901" s="325"/>
      <c r="H901" s="303"/>
      <c r="I901" s="303"/>
    </row>
    <row r="902" spans="1:9" x14ac:dyDescent="0.25">
      <c r="A902" s="303"/>
      <c r="B902" s="303"/>
      <c r="C902" s="303"/>
      <c r="D902" s="303"/>
      <c r="E902" s="303"/>
      <c r="F902" s="303"/>
      <c r="G902" s="325"/>
      <c r="H902" s="303"/>
      <c r="I902" s="303"/>
    </row>
    <row r="903" spans="1:9" x14ac:dyDescent="0.25">
      <c r="A903" s="303"/>
      <c r="B903" s="303"/>
      <c r="C903" s="303"/>
      <c r="D903" s="303"/>
      <c r="E903" s="303"/>
      <c r="F903" s="303"/>
      <c r="G903" s="325"/>
      <c r="H903" s="303"/>
      <c r="I903" s="303"/>
    </row>
    <row r="904" spans="1:9" x14ac:dyDescent="0.25">
      <c r="A904" s="303"/>
      <c r="B904" s="303"/>
      <c r="C904" s="303"/>
      <c r="D904" s="303"/>
      <c r="E904" s="303"/>
      <c r="F904" s="303"/>
      <c r="G904" s="325"/>
      <c r="H904" s="303"/>
      <c r="I904" s="303"/>
    </row>
    <row r="905" spans="1:9" x14ac:dyDescent="0.25">
      <c r="A905" s="303"/>
      <c r="B905" s="303"/>
      <c r="C905" s="303"/>
      <c r="D905" s="303"/>
      <c r="E905" s="303"/>
      <c r="F905" s="303"/>
      <c r="G905" s="325"/>
      <c r="H905" s="303"/>
      <c r="I905" s="303"/>
    </row>
    <row r="906" spans="1:9" x14ac:dyDescent="0.25">
      <c r="A906" s="303"/>
      <c r="B906" s="303"/>
      <c r="C906" s="303"/>
      <c r="D906" s="303"/>
      <c r="E906" s="303"/>
      <c r="F906" s="303"/>
      <c r="G906" s="325"/>
      <c r="H906" s="303"/>
      <c r="I906" s="303"/>
    </row>
    <row r="907" spans="1:9" x14ac:dyDescent="0.25">
      <c r="A907" s="303"/>
      <c r="B907" s="303"/>
      <c r="C907" s="303"/>
      <c r="D907" s="303"/>
      <c r="E907" s="303"/>
      <c r="F907" s="303"/>
      <c r="G907" s="325"/>
      <c r="H907" s="303"/>
      <c r="I907" s="303"/>
    </row>
    <row r="908" spans="1:9" x14ac:dyDescent="0.25">
      <c r="A908" s="303"/>
      <c r="B908" s="303"/>
      <c r="C908" s="303"/>
      <c r="D908" s="303"/>
      <c r="E908" s="303"/>
      <c r="F908" s="303"/>
      <c r="G908" s="325"/>
      <c r="H908" s="303"/>
      <c r="I908" s="303"/>
    </row>
    <row r="909" spans="1:9" x14ac:dyDescent="0.25">
      <c r="A909" s="303"/>
      <c r="B909" s="303"/>
      <c r="C909" s="303"/>
      <c r="D909" s="303"/>
      <c r="E909" s="303"/>
      <c r="F909" s="303"/>
      <c r="G909" s="325"/>
      <c r="H909" s="303"/>
      <c r="I909" s="303"/>
    </row>
    <row r="910" spans="1:9" x14ac:dyDescent="0.25">
      <c r="A910" s="303"/>
      <c r="B910" s="303"/>
      <c r="C910" s="303"/>
      <c r="D910" s="303"/>
      <c r="E910" s="303"/>
      <c r="F910" s="303"/>
      <c r="G910" s="325"/>
      <c r="H910" s="303"/>
      <c r="I910" s="303"/>
    </row>
    <row r="911" spans="1:9" x14ac:dyDescent="0.25">
      <c r="A911" s="303"/>
      <c r="B911" s="303"/>
      <c r="C911" s="303"/>
      <c r="D911" s="303"/>
      <c r="E911" s="303"/>
      <c r="F911" s="303"/>
      <c r="G911" s="325"/>
      <c r="H911" s="303"/>
      <c r="I911" s="303"/>
    </row>
    <row r="912" spans="1:9" x14ac:dyDescent="0.25">
      <c r="A912" s="303"/>
      <c r="B912" s="303"/>
      <c r="C912" s="303"/>
      <c r="D912" s="303"/>
      <c r="E912" s="303"/>
      <c r="F912" s="303"/>
      <c r="G912" s="325"/>
      <c r="H912" s="303"/>
      <c r="I912" s="303"/>
    </row>
    <row r="913" spans="1:9" x14ac:dyDescent="0.25">
      <c r="A913" s="303"/>
      <c r="B913" s="303"/>
      <c r="C913" s="303"/>
      <c r="D913" s="303"/>
      <c r="E913" s="303"/>
      <c r="F913" s="303"/>
      <c r="G913" s="325"/>
      <c r="H913" s="303"/>
      <c r="I913" s="303"/>
    </row>
    <row r="914" spans="1:9" x14ac:dyDescent="0.25">
      <c r="A914" s="303"/>
      <c r="B914" s="303"/>
      <c r="C914" s="303"/>
      <c r="D914" s="303"/>
      <c r="E914" s="303"/>
      <c r="F914" s="303"/>
      <c r="G914" s="325"/>
      <c r="H914" s="303"/>
      <c r="I914" s="303"/>
    </row>
    <row r="915" spans="1:9" x14ac:dyDescent="0.25">
      <c r="A915" s="303"/>
      <c r="B915" s="303"/>
      <c r="C915" s="303"/>
      <c r="D915" s="303"/>
      <c r="E915" s="303"/>
      <c r="F915" s="303"/>
      <c r="G915" s="325"/>
      <c r="H915" s="303"/>
      <c r="I915" s="303"/>
    </row>
    <row r="916" spans="1:9" x14ac:dyDescent="0.25">
      <c r="A916" s="303"/>
      <c r="B916" s="303"/>
      <c r="C916" s="303"/>
      <c r="D916" s="303"/>
      <c r="E916" s="303"/>
      <c r="F916" s="303"/>
      <c r="G916" s="325"/>
      <c r="H916" s="303"/>
      <c r="I916" s="303"/>
    </row>
    <row r="917" spans="1:9" x14ac:dyDescent="0.25">
      <c r="A917" s="303"/>
      <c r="B917" s="303"/>
      <c r="C917" s="303"/>
      <c r="D917" s="303"/>
      <c r="E917" s="303"/>
      <c r="F917" s="303"/>
      <c r="G917" s="325"/>
      <c r="H917" s="303"/>
      <c r="I917" s="303"/>
    </row>
    <row r="918" spans="1:9" x14ac:dyDescent="0.25">
      <c r="A918" s="303"/>
      <c r="B918" s="303"/>
      <c r="C918" s="303"/>
      <c r="D918" s="303"/>
      <c r="E918" s="303"/>
      <c r="F918" s="303"/>
      <c r="G918" s="325"/>
      <c r="H918" s="303"/>
      <c r="I918" s="303"/>
    </row>
    <row r="919" spans="1:9" x14ac:dyDescent="0.25">
      <c r="A919" s="303"/>
      <c r="B919" s="303"/>
      <c r="C919" s="303"/>
      <c r="D919" s="303"/>
      <c r="E919" s="303"/>
      <c r="F919" s="303"/>
      <c r="G919" s="325"/>
      <c r="H919" s="303"/>
      <c r="I919" s="303"/>
    </row>
    <row r="920" spans="1:9" x14ac:dyDescent="0.25">
      <c r="A920" s="303"/>
      <c r="B920" s="303"/>
      <c r="C920" s="303"/>
      <c r="D920" s="303"/>
      <c r="E920" s="303"/>
      <c r="F920" s="303"/>
      <c r="G920" s="325"/>
      <c r="H920" s="303"/>
      <c r="I920" s="303"/>
    </row>
    <row r="921" spans="1:9" x14ac:dyDescent="0.25">
      <c r="A921" s="303"/>
      <c r="B921" s="303"/>
      <c r="C921" s="303"/>
      <c r="D921" s="303"/>
      <c r="E921" s="303"/>
      <c r="F921" s="303"/>
      <c r="G921" s="325"/>
      <c r="H921" s="303"/>
      <c r="I921" s="303"/>
    </row>
    <row r="922" spans="1:9" x14ac:dyDescent="0.25">
      <c r="A922" s="303"/>
      <c r="B922" s="303"/>
      <c r="C922" s="303"/>
      <c r="D922" s="303"/>
      <c r="E922" s="303"/>
      <c r="F922" s="303"/>
      <c r="G922" s="325"/>
      <c r="H922" s="303"/>
      <c r="I922" s="303"/>
    </row>
    <row r="923" spans="1:9" x14ac:dyDescent="0.25">
      <c r="A923" s="303"/>
      <c r="B923" s="303"/>
      <c r="C923" s="303"/>
      <c r="D923" s="303"/>
      <c r="E923" s="303"/>
      <c r="F923" s="303"/>
      <c r="G923" s="325"/>
      <c r="H923" s="303"/>
      <c r="I923" s="303"/>
    </row>
    <row r="924" spans="1:9" x14ac:dyDescent="0.25">
      <c r="A924" s="303"/>
      <c r="B924" s="303"/>
      <c r="C924" s="303"/>
      <c r="D924" s="303"/>
      <c r="E924" s="303"/>
      <c r="F924" s="303"/>
      <c r="G924" s="325"/>
      <c r="H924" s="303"/>
      <c r="I924" s="303"/>
    </row>
    <row r="925" spans="1:9" x14ac:dyDescent="0.25">
      <c r="A925" s="303"/>
      <c r="B925" s="303"/>
      <c r="C925" s="303"/>
      <c r="D925" s="303"/>
      <c r="E925" s="303"/>
      <c r="F925" s="303"/>
      <c r="G925" s="325"/>
      <c r="H925" s="303"/>
      <c r="I925" s="303"/>
    </row>
    <row r="926" spans="1:9" x14ac:dyDescent="0.25">
      <c r="A926" s="303"/>
      <c r="B926" s="303"/>
      <c r="C926" s="303"/>
      <c r="D926" s="303"/>
      <c r="E926" s="303"/>
      <c r="F926" s="303"/>
      <c r="G926" s="325"/>
      <c r="H926" s="303"/>
      <c r="I926" s="303"/>
    </row>
    <row r="927" spans="1:9" x14ac:dyDescent="0.25">
      <c r="A927" s="303"/>
      <c r="B927" s="303"/>
      <c r="C927" s="303"/>
      <c r="D927" s="303"/>
      <c r="E927" s="303"/>
      <c r="F927" s="303"/>
      <c r="G927" s="325"/>
      <c r="H927" s="303"/>
      <c r="I927" s="303"/>
    </row>
    <row r="928" spans="1:9" x14ac:dyDescent="0.25">
      <c r="A928" s="303"/>
      <c r="B928" s="303"/>
      <c r="C928" s="303"/>
      <c r="D928" s="303"/>
      <c r="E928" s="303"/>
      <c r="F928" s="303"/>
      <c r="G928" s="325"/>
      <c r="H928" s="303"/>
      <c r="I928" s="303"/>
    </row>
    <row r="929" spans="1:9" x14ac:dyDescent="0.25">
      <c r="A929" s="303"/>
      <c r="B929" s="303"/>
      <c r="C929" s="303"/>
      <c r="D929" s="303"/>
      <c r="F929" s="303"/>
      <c r="G929" s="325"/>
      <c r="H929" s="303"/>
      <c r="I929" s="303"/>
    </row>
    <row r="930" spans="1:9" x14ac:dyDescent="0.25">
      <c r="A930" s="303"/>
      <c r="B930" s="303"/>
      <c r="C930" s="303"/>
      <c r="D930" s="303"/>
      <c r="F930" s="303"/>
      <c r="G930" s="325"/>
      <c r="H930" s="303"/>
      <c r="I930" s="303"/>
    </row>
    <row r="931" spans="1:9" x14ac:dyDescent="0.25">
      <c r="A931" s="303"/>
      <c r="B931" s="303"/>
      <c r="C931" s="303"/>
      <c r="D931" s="303"/>
      <c r="F931" s="303"/>
      <c r="G931" s="325"/>
      <c r="H931" s="303"/>
      <c r="I931" s="303"/>
    </row>
    <row r="932" spans="1:9" x14ac:dyDescent="0.25">
      <c r="A932" s="303"/>
      <c r="B932" s="303"/>
      <c r="C932" s="303"/>
      <c r="D932" s="303"/>
      <c r="F932" s="303"/>
      <c r="G932" s="325"/>
      <c r="H932" s="303"/>
      <c r="I932" s="303"/>
    </row>
    <row r="933" spans="1:9" x14ac:dyDescent="0.25">
      <c r="A933" s="303"/>
      <c r="B933" s="303"/>
      <c r="C933" s="303"/>
      <c r="D933" s="303"/>
      <c r="F933" s="303"/>
      <c r="G933" s="325"/>
      <c r="H933" s="303"/>
      <c r="I933" s="303"/>
    </row>
    <row r="934" spans="1:9" x14ac:dyDescent="0.25">
      <c r="A934" s="303"/>
      <c r="B934" s="303"/>
      <c r="C934" s="303"/>
      <c r="D934" s="303"/>
      <c r="F934" s="303"/>
      <c r="G934" s="325"/>
      <c r="H934" s="303"/>
      <c r="I934" s="303"/>
    </row>
    <row r="935" spans="1:9" x14ac:dyDescent="0.25">
      <c r="A935" s="303"/>
      <c r="B935" s="303"/>
      <c r="C935" s="303"/>
      <c r="D935" s="303"/>
      <c r="F935" s="303"/>
      <c r="G935" s="325"/>
      <c r="H935" s="303"/>
      <c r="I935" s="303"/>
    </row>
    <row r="936" spans="1:9" x14ac:dyDescent="0.25">
      <c r="A936" s="303"/>
      <c r="B936" s="303"/>
      <c r="C936" s="303"/>
      <c r="D936" s="303"/>
      <c r="F936" s="303"/>
      <c r="G936" s="325"/>
      <c r="H936" s="303"/>
      <c r="I936" s="303"/>
    </row>
    <row r="937" spans="1:9" x14ac:dyDescent="0.25">
      <c r="A937" s="303"/>
      <c r="B937" s="303"/>
      <c r="C937" s="303"/>
      <c r="D937" s="303"/>
      <c r="F937" s="303"/>
      <c r="G937" s="325"/>
      <c r="H937" s="303"/>
      <c r="I937" s="303"/>
    </row>
    <row r="938" spans="1:9" x14ac:dyDescent="0.25">
      <c r="A938" s="303"/>
      <c r="B938" s="303"/>
      <c r="C938" s="303"/>
      <c r="D938" s="303"/>
      <c r="F938" s="303"/>
      <c r="G938" s="325"/>
      <c r="H938" s="303"/>
      <c r="I938" s="303"/>
    </row>
    <row r="939" spans="1:9" x14ac:dyDescent="0.25">
      <c r="A939" s="303"/>
      <c r="B939" s="303"/>
      <c r="C939" s="303"/>
      <c r="D939" s="303"/>
      <c r="F939" s="303"/>
      <c r="G939" s="325"/>
      <c r="H939" s="303"/>
      <c r="I939" s="303"/>
    </row>
    <row r="940" spans="1:9" x14ac:dyDescent="0.25">
      <c r="A940" s="303"/>
      <c r="B940" s="303"/>
      <c r="C940" s="303"/>
      <c r="D940" s="303"/>
      <c r="F940" s="303"/>
      <c r="G940" s="325"/>
      <c r="H940" s="303"/>
      <c r="I940" s="303"/>
    </row>
    <row r="941" spans="1:9" x14ac:dyDescent="0.25">
      <c r="A941" s="303"/>
      <c r="B941" s="303"/>
      <c r="C941" s="303"/>
      <c r="D941" s="303"/>
      <c r="F941" s="303"/>
      <c r="G941" s="325"/>
      <c r="H941" s="303"/>
      <c r="I941" s="303"/>
    </row>
    <row r="942" spans="1:9" x14ac:dyDescent="0.25">
      <c r="A942" s="303"/>
      <c r="B942" s="303"/>
      <c r="C942" s="303"/>
      <c r="D942" s="303"/>
      <c r="F942" s="303"/>
      <c r="G942" s="325"/>
      <c r="H942" s="303"/>
      <c r="I942" s="303"/>
    </row>
    <row r="943" spans="1:9" x14ac:dyDescent="0.25">
      <c r="A943" s="303"/>
      <c r="B943" s="303"/>
      <c r="C943" s="303"/>
      <c r="D943" s="303"/>
      <c r="F943" s="303"/>
      <c r="G943" s="325"/>
      <c r="H943" s="303"/>
      <c r="I943" s="303"/>
    </row>
    <row r="944" spans="1:9" x14ac:dyDescent="0.25">
      <c r="A944" s="303"/>
      <c r="B944" s="303"/>
      <c r="C944" s="303"/>
      <c r="D944" s="303"/>
      <c r="F944" s="303"/>
      <c r="G944" s="325"/>
      <c r="H944" s="303"/>
      <c r="I944" s="303"/>
    </row>
    <row r="945" spans="1:9" x14ac:dyDescent="0.25">
      <c r="A945" s="303"/>
      <c r="B945" s="303"/>
      <c r="C945" s="303"/>
      <c r="D945" s="303"/>
      <c r="F945" s="303"/>
      <c r="G945" s="325"/>
      <c r="H945" s="303"/>
      <c r="I945" s="303"/>
    </row>
    <row r="946" spans="1:9" x14ac:dyDescent="0.25">
      <c r="A946" s="303"/>
      <c r="B946" s="303"/>
      <c r="C946" s="303"/>
      <c r="D946" s="303"/>
      <c r="F946" s="303"/>
      <c r="G946" s="325"/>
      <c r="H946" s="303"/>
      <c r="I946" s="303"/>
    </row>
    <row r="947" spans="1:9" x14ac:dyDescent="0.25">
      <c r="A947" s="303"/>
      <c r="B947" s="303"/>
      <c r="C947" s="303"/>
      <c r="D947" s="303"/>
      <c r="F947" s="303"/>
      <c r="G947" s="325"/>
      <c r="H947" s="303"/>
      <c r="I947" s="303"/>
    </row>
    <row r="948" spans="1:9" x14ac:dyDescent="0.25">
      <c r="A948" s="303"/>
      <c r="B948" s="303"/>
      <c r="C948" s="303"/>
      <c r="D948" s="303"/>
      <c r="F948" s="303"/>
      <c r="G948" s="325"/>
      <c r="H948" s="303"/>
      <c r="I948" s="303"/>
    </row>
    <row r="949" spans="1:9" x14ac:dyDescent="0.25">
      <c r="A949" s="303"/>
      <c r="B949" s="303"/>
      <c r="C949" s="303"/>
      <c r="D949" s="303"/>
      <c r="F949" s="303"/>
      <c r="G949" s="325"/>
      <c r="H949" s="303"/>
      <c r="I949" s="303"/>
    </row>
    <row r="950" spans="1:9" x14ac:dyDescent="0.25">
      <c r="A950" s="303"/>
      <c r="B950" s="303"/>
      <c r="C950" s="303"/>
      <c r="D950" s="303"/>
      <c r="F950" s="303"/>
      <c r="G950" s="325"/>
      <c r="H950" s="303"/>
      <c r="I950" s="303"/>
    </row>
    <row r="951" spans="1:9" x14ac:dyDescent="0.25">
      <c r="A951" s="303"/>
      <c r="B951" s="303"/>
      <c r="C951" s="303"/>
      <c r="D951" s="303"/>
      <c r="F951" s="303"/>
      <c r="G951" s="325"/>
      <c r="H951" s="303"/>
      <c r="I951" s="303"/>
    </row>
    <row r="952" spans="1:9" x14ac:dyDescent="0.25">
      <c r="A952" s="303"/>
      <c r="B952" s="303"/>
      <c r="C952" s="303"/>
      <c r="D952" s="303"/>
      <c r="F952" s="303"/>
      <c r="G952" s="325"/>
      <c r="H952" s="303"/>
      <c r="I952" s="303"/>
    </row>
    <row r="953" spans="1:9" x14ac:dyDescent="0.25">
      <c r="A953" s="303"/>
      <c r="B953" s="303"/>
      <c r="C953" s="303"/>
      <c r="D953" s="303"/>
      <c r="F953" s="303"/>
      <c r="G953" s="325"/>
      <c r="H953" s="303"/>
      <c r="I953" s="303"/>
    </row>
    <row r="954" spans="1:9" x14ac:dyDescent="0.25">
      <c r="A954" s="303"/>
      <c r="B954" s="303"/>
      <c r="D954" s="303"/>
      <c r="F954" s="303"/>
      <c r="G954" s="325"/>
      <c r="H954" s="303"/>
      <c r="I954" s="303"/>
    </row>
    <row r="955" spans="1:9" x14ac:dyDescent="0.25">
      <c r="A955" s="303"/>
      <c r="B955" s="303"/>
      <c r="D955" s="303"/>
      <c r="F955" s="303"/>
      <c r="G955" s="325"/>
      <c r="H955" s="303"/>
      <c r="I955" s="303"/>
    </row>
    <row r="956" spans="1:9" x14ac:dyDescent="0.25">
      <c r="A956" s="303"/>
      <c r="B956" s="303"/>
      <c r="D956" s="303"/>
      <c r="F956" s="303"/>
      <c r="G956" s="325"/>
      <c r="H956" s="303"/>
      <c r="I956" s="303"/>
    </row>
    <row r="957" spans="1:9" x14ac:dyDescent="0.25">
      <c r="A957" s="303"/>
      <c r="B957" s="303"/>
      <c r="D957" s="303"/>
      <c r="F957" s="303"/>
      <c r="G957" s="325"/>
      <c r="H957" s="303"/>
      <c r="I957" s="303"/>
    </row>
    <row r="958" spans="1:9" x14ac:dyDescent="0.25">
      <c r="A958" s="303"/>
      <c r="B958" s="303"/>
      <c r="D958" s="303"/>
      <c r="F958" s="303"/>
      <c r="G958" s="325"/>
      <c r="H958" s="303"/>
      <c r="I958" s="303"/>
    </row>
    <row r="959" spans="1:9" x14ac:dyDescent="0.25">
      <c r="A959" s="303"/>
      <c r="B959" s="303"/>
      <c r="D959" s="303"/>
      <c r="F959" s="303"/>
      <c r="G959" s="325"/>
      <c r="H959" s="303"/>
      <c r="I959" s="303"/>
    </row>
    <row r="960" spans="1:9" x14ac:dyDescent="0.25">
      <c r="A960" s="303"/>
      <c r="B960" s="303"/>
      <c r="D960" s="303"/>
      <c r="F960" s="303"/>
      <c r="G960" s="325"/>
      <c r="H960" s="303"/>
      <c r="I960" s="303"/>
    </row>
    <row r="961" spans="1:9" x14ac:dyDescent="0.25">
      <c r="A961" s="303"/>
      <c r="B961" s="303"/>
      <c r="D961" s="303"/>
      <c r="F961" s="303"/>
      <c r="G961" s="325"/>
      <c r="H961" s="303"/>
      <c r="I961" s="303"/>
    </row>
    <row r="962" spans="1:9" x14ac:dyDescent="0.25">
      <c r="A962" s="303"/>
      <c r="B962" s="303"/>
      <c r="D962" s="303"/>
      <c r="F962" s="303"/>
      <c r="G962" s="325"/>
      <c r="H962" s="303"/>
      <c r="I962" s="303"/>
    </row>
    <row r="963" spans="1:9" x14ac:dyDescent="0.25">
      <c r="A963" s="303"/>
      <c r="B963" s="303"/>
      <c r="D963" s="303"/>
      <c r="F963" s="303"/>
      <c r="G963" s="325"/>
      <c r="H963" s="303"/>
      <c r="I963" s="303"/>
    </row>
    <row r="964" spans="1:9" x14ac:dyDescent="0.25">
      <c r="A964" s="303"/>
      <c r="B964" s="303"/>
      <c r="D964" s="303"/>
      <c r="F964" s="303"/>
      <c r="G964" s="325"/>
      <c r="H964" s="303"/>
      <c r="I964" s="303"/>
    </row>
    <row r="965" spans="1:9" x14ac:dyDescent="0.25">
      <c r="A965" s="303"/>
      <c r="B965" s="303"/>
      <c r="D965" s="303"/>
      <c r="F965" s="303"/>
      <c r="G965" s="325"/>
      <c r="H965" s="303"/>
      <c r="I965" s="303"/>
    </row>
    <row r="966" spans="1:9" x14ac:dyDescent="0.25">
      <c r="A966" s="303"/>
      <c r="B966" s="303"/>
      <c r="D966" s="303"/>
      <c r="F966" s="303"/>
      <c r="G966" s="325"/>
      <c r="H966" s="303"/>
      <c r="I966" s="303"/>
    </row>
    <row r="967" spans="1:9" x14ac:dyDescent="0.25">
      <c r="A967" s="303"/>
      <c r="B967" s="303"/>
      <c r="D967" s="303"/>
      <c r="F967" s="303"/>
      <c r="G967" s="325"/>
      <c r="H967" s="303"/>
      <c r="I967" s="303"/>
    </row>
    <row r="968" spans="1:9" x14ac:dyDescent="0.25">
      <c r="A968" s="303"/>
      <c r="B968" s="303"/>
      <c r="D968" s="303"/>
      <c r="F968" s="303"/>
      <c r="G968" s="325"/>
      <c r="H968" s="303"/>
      <c r="I968" s="303"/>
    </row>
    <row r="969" spans="1:9" x14ac:dyDescent="0.25">
      <c r="A969" s="303"/>
      <c r="B969" s="303"/>
      <c r="D969" s="303"/>
      <c r="F969" s="303"/>
      <c r="G969" s="325"/>
      <c r="H969" s="303"/>
      <c r="I969" s="303"/>
    </row>
    <row r="970" spans="1:9" x14ac:dyDescent="0.25">
      <c r="A970" s="303"/>
      <c r="B970" s="303"/>
      <c r="D970" s="303"/>
      <c r="F970" s="303"/>
      <c r="G970" s="325"/>
      <c r="H970" s="303"/>
      <c r="I970" s="303"/>
    </row>
    <row r="971" spans="1:9" x14ac:dyDescent="0.25">
      <c r="A971" s="303"/>
      <c r="B971" s="303"/>
      <c r="D971" s="303"/>
      <c r="F971" s="303"/>
      <c r="G971" s="325"/>
      <c r="H971" s="303"/>
      <c r="I971" s="303"/>
    </row>
    <row r="972" spans="1:9" x14ac:dyDescent="0.25">
      <c r="G972" s="325"/>
    </row>
    <row r="973" spans="1:9" x14ac:dyDescent="0.25">
      <c r="G973" s="325"/>
    </row>
    <row r="974" spans="1:9" x14ac:dyDescent="0.25">
      <c r="G974" s="325"/>
    </row>
    <row r="975" spans="1:9" x14ac:dyDescent="0.25">
      <c r="G975" s="325"/>
    </row>
    <row r="976" spans="1:9" x14ac:dyDescent="0.25">
      <c r="G976" s="325"/>
    </row>
    <row r="977" spans="7:7" x14ac:dyDescent="0.25">
      <c r="G977" s="325"/>
    </row>
    <row r="978" spans="7:7" x14ac:dyDescent="0.25">
      <c r="G978" s="325"/>
    </row>
    <row r="979" spans="7:7" x14ac:dyDescent="0.25">
      <c r="G979" s="325"/>
    </row>
    <row r="980" spans="7:7" x14ac:dyDescent="0.25">
      <c r="G980" s="325"/>
    </row>
    <row r="981" spans="7:7" x14ac:dyDescent="0.25">
      <c r="G981" s="325"/>
    </row>
    <row r="982" spans="7:7" x14ac:dyDescent="0.25">
      <c r="G982" s="325"/>
    </row>
    <row r="983" spans="7:7" x14ac:dyDescent="0.25">
      <c r="G983" s="325"/>
    </row>
    <row r="984" spans="7:7" x14ac:dyDescent="0.25">
      <c r="G984" s="325"/>
    </row>
    <row r="985" spans="7:7" x14ac:dyDescent="0.25">
      <c r="G985" s="325"/>
    </row>
    <row r="986" spans="7:7" x14ac:dyDescent="0.25">
      <c r="G986" s="325"/>
    </row>
    <row r="987" spans="7:7" x14ac:dyDescent="0.25">
      <c r="G987" s="325"/>
    </row>
    <row r="988" spans="7:7" x14ac:dyDescent="0.25">
      <c r="G988" s="325"/>
    </row>
    <row r="989" spans="7:7" x14ac:dyDescent="0.25">
      <c r="G989" s="325"/>
    </row>
    <row r="990" spans="7:7" x14ac:dyDescent="0.25">
      <c r="G990" s="325"/>
    </row>
    <row r="991" spans="7:7" x14ac:dyDescent="0.25">
      <c r="G991" s="325"/>
    </row>
    <row r="992" spans="7:7" x14ac:dyDescent="0.25">
      <c r="G992" s="325"/>
    </row>
    <row r="993" spans="7:7" x14ac:dyDescent="0.25">
      <c r="G993" s="325"/>
    </row>
    <row r="1011" spans="9:9" x14ac:dyDescent="0.25">
      <c r="I1011" s="325"/>
    </row>
    <row r="1012" spans="9:9" x14ac:dyDescent="0.25">
      <c r="I1012" s="325"/>
    </row>
    <row r="1013" spans="9:9" x14ac:dyDescent="0.25">
      <c r="I1013" s="325"/>
    </row>
    <row r="1014" spans="9:9" x14ac:dyDescent="0.25">
      <c r="I1014" s="325"/>
    </row>
    <row r="1015" spans="9:9" x14ac:dyDescent="0.25">
      <c r="I1015" s="325"/>
    </row>
    <row r="1016" spans="9:9" x14ac:dyDescent="0.25">
      <c r="I1016" s="325"/>
    </row>
    <row r="1017" spans="9:9" x14ac:dyDescent="0.25">
      <c r="I1017" s="325"/>
    </row>
    <row r="1018" spans="9:9" x14ac:dyDescent="0.25">
      <c r="I1018" s="325"/>
    </row>
    <row r="1019" spans="9:9" x14ac:dyDescent="0.25">
      <c r="I1019" s="325"/>
    </row>
  </sheetData>
  <sheetProtection password="9A3D" sheet="1" objects="1" scenarios="1"/>
  <mergeCells count="1">
    <mergeCell ref="A1:K1"/>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N33"/>
  <sheetViews>
    <sheetView workbookViewId="0">
      <selection activeCell="K13" sqref="K13"/>
    </sheetView>
  </sheetViews>
  <sheetFormatPr defaultRowHeight="15" x14ac:dyDescent="0.25"/>
  <cols>
    <col min="1" max="1" width="31.42578125" style="301" customWidth="1"/>
    <col min="2" max="2" width="13.42578125" style="301" customWidth="1"/>
    <col min="3" max="3" width="8.28515625" style="301" customWidth="1"/>
    <col min="4" max="4" width="21.140625" style="301" customWidth="1"/>
    <col min="5" max="5" width="31" style="301" customWidth="1"/>
    <col min="6" max="7" width="13.5703125" style="301" customWidth="1"/>
    <col min="8" max="8" width="53.42578125" style="301" customWidth="1"/>
    <col min="9" max="9" width="36.85546875" style="301" customWidth="1"/>
    <col min="10" max="10" width="27.7109375" style="301" customWidth="1"/>
    <col min="11" max="11" width="13.42578125" style="301" customWidth="1"/>
    <col min="12" max="12" width="8.85546875" style="301" customWidth="1"/>
    <col min="13" max="13" width="9.140625" style="301" customWidth="1"/>
    <col min="14" max="14" width="5.5703125" style="301" customWidth="1"/>
  </cols>
  <sheetData>
    <row r="1" spans="1:14" ht="18.75" x14ac:dyDescent="0.25">
      <c r="A1" s="300" t="s">
        <v>246</v>
      </c>
    </row>
    <row r="2" spans="1:14" x14ac:dyDescent="0.25">
      <c r="A2" s="302"/>
      <c r="B2" s="302"/>
      <c r="C2" s="302"/>
      <c r="D2" s="302"/>
      <c r="E2" s="302"/>
      <c r="F2" s="302"/>
      <c r="G2" s="302"/>
      <c r="H2" s="302"/>
      <c r="I2" s="302"/>
      <c r="J2" s="302"/>
      <c r="K2" s="302"/>
      <c r="L2" s="302"/>
      <c r="M2" s="303"/>
      <c r="N2" s="303"/>
    </row>
    <row r="3" spans="1:14" x14ac:dyDescent="0.25">
      <c r="A3" s="953" t="s">
        <v>247</v>
      </c>
      <c r="B3" s="954"/>
      <c r="C3" s="954"/>
      <c r="D3" s="955"/>
      <c r="E3" s="304"/>
      <c r="F3" s="305"/>
      <c r="G3" s="306"/>
      <c r="H3" s="953" t="s">
        <v>248</v>
      </c>
      <c r="I3" s="954"/>
      <c r="J3" s="954"/>
      <c r="K3" s="954"/>
      <c r="L3" s="955"/>
      <c r="M3" s="303"/>
      <c r="N3" s="303"/>
    </row>
    <row r="4" spans="1:14" x14ac:dyDescent="0.25">
      <c r="A4" s="307" t="s">
        <v>249</v>
      </c>
      <c r="B4" s="307" t="s">
        <v>250</v>
      </c>
      <c r="C4" s="307" t="s">
        <v>251</v>
      </c>
      <c r="D4" s="307" t="s">
        <v>252</v>
      </c>
      <c r="E4" s="308" t="s">
        <v>253</v>
      </c>
      <c r="F4" s="305"/>
      <c r="G4" s="309"/>
      <c r="H4" s="307" t="s">
        <v>254</v>
      </c>
      <c r="I4" s="307" t="s">
        <v>255</v>
      </c>
      <c r="J4" s="307" t="s">
        <v>249</v>
      </c>
      <c r="K4" s="307" t="s">
        <v>250</v>
      </c>
      <c r="L4" s="307" t="s">
        <v>251</v>
      </c>
      <c r="M4" s="303"/>
      <c r="N4" s="303"/>
    </row>
    <row r="5" spans="1:14" x14ac:dyDescent="0.25">
      <c r="A5" s="310" t="s">
        <v>256</v>
      </c>
      <c r="B5" s="10">
        <v>6000</v>
      </c>
      <c r="C5" s="10">
        <v>9000</v>
      </c>
      <c r="D5" s="311" t="s">
        <v>82</v>
      </c>
      <c r="E5" s="311" t="s">
        <v>257</v>
      </c>
      <c r="F5" s="305"/>
      <c r="G5" s="951" t="s">
        <v>258</v>
      </c>
      <c r="H5" s="310" t="s">
        <v>82</v>
      </c>
      <c r="I5" s="310" t="s">
        <v>259</v>
      </c>
      <c r="J5" s="312" t="s">
        <v>256</v>
      </c>
      <c r="K5" s="312">
        <f>VLOOKUP(J5,FL_rates,2,FALSE)</f>
        <v>6000</v>
      </c>
      <c r="L5" s="312">
        <f t="shared" ref="L5:L14" si="0">VLOOKUP(J5,FL_rates,3,FALSE)</f>
        <v>9000</v>
      </c>
      <c r="M5" s="303"/>
      <c r="N5" s="303"/>
    </row>
    <row r="6" spans="1:14" x14ac:dyDescent="0.25">
      <c r="A6" s="313" t="s">
        <v>260</v>
      </c>
      <c r="B6" s="18">
        <v>1200</v>
      </c>
      <c r="C6" s="18">
        <v>1800</v>
      </c>
      <c r="D6" s="313" t="s">
        <v>261</v>
      </c>
      <c r="E6" s="313" t="s">
        <v>262</v>
      </c>
      <c r="F6" s="305"/>
      <c r="G6" s="951"/>
      <c r="H6" s="312" t="s">
        <v>82</v>
      </c>
      <c r="I6" s="312" t="s">
        <v>263</v>
      </c>
      <c r="J6" s="312" t="s">
        <v>256</v>
      </c>
      <c r="K6" s="312">
        <f t="shared" ref="K6:K14" si="1">VLOOKUP(J6,FL_rates,2,FALSE)</f>
        <v>6000</v>
      </c>
      <c r="L6" s="312">
        <f t="shared" si="0"/>
        <v>9000</v>
      </c>
      <c r="M6" s="303"/>
      <c r="N6" s="303"/>
    </row>
    <row r="7" spans="1:14" ht="25.5" x14ac:dyDescent="0.25">
      <c r="A7" s="314" t="s">
        <v>264</v>
      </c>
      <c r="B7" s="75">
        <v>900</v>
      </c>
      <c r="C7" s="75">
        <v>1350</v>
      </c>
      <c r="D7" s="314" t="s">
        <v>265</v>
      </c>
      <c r="E7" s="314" t="s">
        <v>262</v>
      </c>
      <c r="F7" s="305"/>
      <c r="G7" s="951"/>
      <c r="H7" s="312" t="s">
        <v>82</v>
      </c>
      <c r="I7" s="312" t="s">
        <v>266</v>
      </c>
      <c r="J7" s="312" t="s">
        <v>256</v>
      </c>
      <c r="K7" s="312">
        <f t="shared" si="1"/>
        <v>6000</v>
      </c>
      <c r="L7" s="312">
        <f t="shared" si="0"/>
        <v>9000</v>
      </c>
      <c r="M7" s="303"/>
      <c r="N7" s="303"/>
    </row>
    <row r="8" spans="1:14" x14ac:dyDescent="0.25">
      <c r="A8" s="303" t="s">
        <v>565</v>
      </c>
      <c r="B8" s="303">
        <v>7200</v>
      </c>
      <c r="C8" s="303">
        <v>10800</v>
      </c>
      <c r="D8" s="303" t="s">
        <v>446</v>
      </c>
      <c r="E8" s="303" t="s">
        <v>262</v>
      </c>
      <c r="F8" s="305"/>
      <c r="G8" s="951"/>
      <c r="H8" s="312" t="s">
        <v>82</v>
      </c>
      <c r="I8" s="312" t="s">
        <v>267</v>
      </c>
      <c r="J8" s="312" t="s">
        <v>256</v>
      </c>
      <c r="K8" s="312">
        <f t="shared" si="1"/>
        <v>6000</v>
      </c>
      <c r="L8" s="312">
        <f t="shared" si="0"/>
        <v>9000</v>
      </c>
      <c r="M8" s="303"/>
      <c r="N8" s="303"/>
    </row>
    <row r="9" spans="1:14" x14ac:dyDescent="0.25">
      <c r="A9" s="303"/>
      <c r="B9" s="303"/>
      <c r="C9" s="303"/>
      <c r="D9" s="303"/>
      <c r="E9" s="303"/>
      <c r="F9" s="305"/>
      <c r="G9" s="951"/>
      <c r="H9" s="312" t="s">
        <v>82</v>
      </c>
      <c r="I9" s="312" t="s">
        <v>268</v>
      </c>
      <c r="J9" s="312" t="s">
        <v>256</v>
      </c>
      <c r="K9" s="312">
        <f t="shared" si="1"/>
        <v>6000</v>
      </c>
      <c r="L9" s="312">
        <f t="shared" si="0"/>
        <v>9000</v>
      </c>
      <c r="M9" s="303"/>
      <c r="N9" s="303"/>
    </row>
    <row r="10" spans="1:14" x14ac:dyDescent="0.25">
      <c r="A10" s="953" t="s">
        <v>247</v>
      </c>
      <c r="B10" s="954"/>
      <c r="C10" s="954"/>
      <c r="D10" s="955"/>
      <c r="E10" s="315"/>
      <c r="F10" s="305"/>
      <c r="G10" s="951"/>
      <c r="H10" s="312" t="s">
        <v>82</v>
      </c>
      <c r="I10" s="312" t="s">
        <v>269</v>
      </c>
      <c r="J10" s="312" t="s">
        <v>256</v>
      </c>
      <c r="K10" s="312">
        <f t="shared" si="1"/>
        <v>6000</v>
      </c>
      <c r="L10" s="312">
        <f t="shared" si="0"/>
        <v>9000</v>
      </c>
      <c r="M10" s="303"/>
      <c r="N10" s="303"/>
    </row>
    <row r="11" spans="1:14" x14ac:dyDescent="0.25">
      <c r="A11" s="307" t="s">
        <v>249</v>
      </c>
      <c r="B11" s="307" t="s">
        <v>250</v>
      </c>
      <c r="C11" s="307" t="s">
        <v>251</v>
      </c>
      <c r="D11" s="307" t="s">
        <v>252</v>
      </c>
      <c r="E11" s="307" t="s">
        <v>253</v>
      </c>
      <c r="F11" s="305"/>
      <c r="G11" s="951"/>
      <c r="H11" s="312" t="s">
        <v>82</v>
      </c>
      <c r="I11" s="316" t="s">
        <v>270</v>
      </c>
      <c r="J11" s="312" t="s">
        <v>256</v>
      </c>
      <c r="K11" s="312">
        <f t="shared" si="1"/>
        <v>6000</v>
      </c>
      <c r="L11" s="312">
        <f t="shared" si="0"/>
        <v>9000</v>
      </c>
      <c r="M11" s="303"/>
      <c r="N11" s="303"/>
    </row>
    <row r="12" spans="1:14" x14ac:dyDescent="0.25">
      <c r="A12" s="311" t="s">
        <v>440</v>
      </c>
      <c r="B12" s="10">
        <v>6165</v>
      </c>
      <c r="C12" s="10">
        <v>9250</v>
      </c>
      <c r="D12" s="311" t="s">
        <v>82</v>
      </c>
      <c r="E12" s="311" t="s">
        <v>257</v>
      </c>
      <c r="F12" s="305"/>
      <c r="G12" s="951"/>
      <c r="H12" s="317" t="s">
        <v>271</v>
      </c>
      <c r="I12" s="312" t="s">
        <v>272</v>
      </c>
      <c r="J12" s="312" t="s">
        <v>260</v>
      </c>
      <c r="K12" s="312">
        <f t="shared" si="1"/>
        <v>1200</v>
      </c>
      <c r="L12" s="312">
        <f t="shared" si="0"/>
        <v>1800</v>
      </c>
      <c r="M12" s="303"/>
      <c r="N12" s="303"/>
    </row>
    <row r="13" spans="1:14" x14ac:dyDescent="0.25">
      <c r="A13" s="313" t="s">
        <v>441</v>
      </c>
      <c r="B13" s="18">
        <v>1230</v>
      </c>
      <c r="C13" s="18">
        <v>1850</v>
      </c>
      <c r="D13" s="313" t="s">
        <v>261</v>
      </c>
      <c r="E13" s="313" t="s">
        <v>262</v>
      </c>
      <c r="F13" s="305"/>
      <c r="G13" s="951"/>
      <c r="H13" s="317" t="s">
        <v>82</v>
      </c>
      <c r="I13" s="312" t="s">
        <v>446</v>
      </c>
      <c r="J13" s="312" t="s">
        <v>565</v>
      </c>
      <c r="K13" s="312">
        <v>7200</v>
      </c>
      <c r="L13" s="312">
        <v>10800</v>
      </c>
      <c r="M13" s="303"/>
      <c r="N13" s="303"/>
    </row>
    <row r="14" spans="1:14" ht="25.5" x14ac:dyDescent="0.25">
      <c r="A14" s="314" t="s">
        <v>442</v>
      </c>
      <c r="B14" s="75">
        <v>920</v>
      </c>
      <c r="C14" s="75">
        <v>1385</v>
      </c>
      <c r="D14" s="314" t="s">
        <v>265</v>
      </c>
      <c r="E14" s="314" t="s">
        <v>262</v>
      </c>
      <c r="F14" s="305"/>
      <c r="G14" s="951"/>
      <c r="H14" s="317" t="s">
        <v>273</v>
      </c>
      <c r="I14" s="312" t="s">
        <v>265</v>
      </c>
      <c r="J14" s="312" t="s">
        <v>264</v>
      </c>
      <c r="K14" s="312">
        <f t="shared" si="1"/>
        <v>900</v>
      </c>
      <c r="L14" s="312">
        <f t="shared" si="0"/>
        <v>1350</v>
      </c>
      <c r="M14" s="303"/>
      <c r="N14" s="303"/>
    </row>
    <row r="15" spans="1:14" x14ac:dyDescent="0.25">
      <c r="A15" s="508" t="s">
        <v>566</v>
      </c>
      <c r="B15" s="509">
        <v>7398</v>
      </c>
      <c r="C15" s="509">
        <v>11100</v>
      </c>
      <c r="D15" s="508" t="s">
        <v>446</v>
      </c>
      <c r="E15" s="508" t="s">
        <v>262</v>
      </c>
      <c r="F15" s="305"/>
      <c r="G15" s="951" t="s">
        <v>93</v>
      </c>
      <c r="H15" s="321" t="s">
        <v>82</v>
      </c>
      <c r="I15" s="321" t="s">
        <v>259</v>
      </c>
      <c r="J15" s="321" t="s">
        <v>440</v>
      </c>
      <c r="K15" s="310">
        <f t="shared" ref="K15:K24" si="2">VLOOKUP(J15,FL_rates,2,FALSE)</f>
        <v>6165</v>
      </c>
      <c r="L15" s="310">
        <f t="shared" ref="L15:L24" si="3">VLOOKUP(J15,FL_rates,3,FALSE)</f>
        <v>9250</v>
      </c>
      <c r="M15" s="303"/>
      <c r="N15" s="303"/>
    </row>
    <row r="16" spans="1:14" x14ac:dyDescent="0.25">
      <c r="F16" s="318"/>
      <c r="G16" s="952"/>
      <c r="H16" s="312" t="s">
        <v>82</v>
      </c>
      <c r="I16" s="312" t="s">
        <v>263</v>
      </c>
      <c r="J16" s="312" t="s">
        <v>440</v>
      </c>
      <c r="K16" s="312">
        <f t="shared" si="2"/>
        <v>6165</v>
      </c>
      <c r="L16" s="312">
        <f t="shared" si="3"/>
        <v>9250</v>
      </c>
      <c r="M16" s="303"/>
      <c r="N16" s="303"/>
    </row>
    <row r="17" spans="6:14" x14ac:dyDescent="0.25">
      <c r="F17" s="302"/>
      <c r="G17" s="951"/>
      <c r="H17" s="312" t="s">
        <v>82</v>
      </c>
      <c r="I17" s="312" t="s">
        <v>266</v>
      </c>
      <c r="J17" s="312" t="s">
        <v>440</v>
      </c>
      <c r="K17" s="312">
        <f t="shared" si="2"/>
        <v>6165</v>
      </c>
      <c r="L17" s="312">
        <f t="shared" si="3"/>
        <v>9250</v>
      </c>
      <c r="M17" s="303"/>
      <c r="N17" s="303"/>
    </row>
    <row r="18" spans="6:14" x14ac:dyDescent="0.25">
      <c r="F18" s="302"/>
      <c r="G18" s="951"/>
      <c r="H18" s="312" t="s">
        <v>82</v>
      </c>
      <c r="I18" s="312" t="s">
        <v>267</v>
      </c>
      <c r="J18" s="312" t="s">
        <v>440</v>
      </c>
      <c r="K18" s="312">
        <f t="shared" si="2"/>
        <v>6165</v>
      </c>
      <c r="L18" s="312">
        <f t="shared" si="3"/>
        <v>9250</v>
      </c>
      <c r="M18" s="303"/>
      <c r="N18" s="303"/>
    </row>
    <row r="19" spans="6:14" x14ac:dyDescent="0.25">
      <c r="F19" s="302"/>
      <c r="G19" s="951"/>
      <c r="H19" s="312" t="s">
        <v>82</v>
      </c>
      <c r="I19" s="312" t="s">
        <v>268</v>
      </c>
      <c r="J19" s="312" t="s">
        <v>440</v>
      </c>
      <c r="K19" s="312">
        <f t="shared" si="2"/>
        <v>6165</v>
      </c>
      <c r="L19" s="312">
        <f t="shared" si="3"/>
        <v>9250</v>
      </c>
      <c r="M19" s="303"/>
      <c r="N19" s="303"/>
    </row>
    <row r="20" spans="6:14" x14ac:dyDescent="0.25">
      <c r="F20" s="302"/>
      <c r="G20" s="951"/>
      <c r="H20" s="312" t="s">
        <v>82</v>
      </c>
      <c r="I20" s="312" t="s">
        <v>269</v>
      </c>
      <c r="J20" s="312" t="s">
        <v>440</v>
      </c>
      <c r="K20" s="312">
        <f t="shared" si="2"/>
        <v>6165</v>
      </c>
      <c r="L20" s="312">
        <f t="shared" si="3"/>
        <v>9250</v>
      </c>
      <c r="M20" s="303"/>
      <c r="N20" s="303"/>
    </row>
    <row r="21" spans="6:14" x14ac:dyDescent="0.25">
      <c r="F21" s="302"/>
      <c r="G21" s="951"/>
      <c r="H21" s="312" t="s">
        <v>82</v>
      </c>
      <c r="I21" s="316" t="s">
        <v>270</v>
      </c>
      <c r="J21" s="312" t="s">
        <v>440</v>
      </c>
      <c r="K21" s="316">
        <f t="shared" si="2"/>
        <v>6165</v>
      </c>
      <c r="L21" s="316">
        <f t="shared" si="3"/>
        <v>9250</v>
      </c>
      <c r="M21" s="303"/>
      <c r="N21" s="303"/>
    </row>
    <row r="22" spans="6:14" x14ac:dyDescent="0.25">
      <c r="F22" s="302"/>
      <c r="G22" s="951"/>
      <c r="H22" s="317" t="s">
        <v>271</v>
      </c>
      <c r="I22" s="312" t="s">
        <v>272</v>
      </c>
      <c r="J22" s="312" t="s">
        <v>441</v>
      </c>
      <c r="K22" s="312">
        <f t="shared" si="2"/>
        <v>1230</v>
      </c>
      <c r="L22" s="312">
        <f t="shared" si="3"/>
        <v>1850</v>
      </c>
      <c r="M22" s="303"/>
      <c r="N22" s="303"/>
    </row>
    <row r="23" spans="6:14" x14ac:dyDescent="0.25">
      <c r="F23" s="302"/>
      <c r="G23" s="951"/>
      <c r="H23" s="317" t="s">
        <v>82</v>
      </c>
      <c r="I23" s="312" t="s">
        <v>446</v>
      </c>
      <c r="J23" s="312" t="s">
        <v>566</v>
      </c>
      <c r="K23" s="312">
        <v>7398</v>
      </c>
      <c r="L23" s="312">
        <v>11100</v>
      </c>
      <c r="M23" s="303"/>
      <c r="N23" s="303"/>
    </row>
    <row r="24" spans="6:14" x14ac:dyDescent="0.25">
      <c r="F24" s="302"/>
      <c r="G24" s="951"/>
      <c r="H24" s="319" t="s">
        <v>273</v>
      </c>
      <c r="I24" s="320" t="s">
        <v>265</v>
      </c>
      <c r="J24" s="320" t="s">
        <v>442</v>
      </c>
      <c r="K24" s="320">
        <f t="shared" si="2"/>
        <v>920</v>
      </c>
      <c r="L24" s="320">
        <f t="shared" si="3"/>
        <v>1385</v>
      </c>
      <c r="M24" s="303"/>
      <c r="N24" s="303"/>
    </row>
    <row r="25" spans="6:14" x14ac:dyDescent="0.25">
      <c r="F25" s="302"/>
      <c r="M25" s="303"/>
      <c r="N25" s="303"/>
    </row>
    <row r="26" spans="6:14" x14ac:dyDescent="0.25">
      <c r="F26" s="302"/>
      <c r="M26" s="303"/>
      <c r="N26" s="303"/>
    </row>
    <row r="27" spans="6:14" x14ac:dyDescent="0.25">
      <c r="H27" s="953" t="s">
        <v>248</v>
      </c>
      <c r="I27" s="954"/>
      <c r="J27" s="954"/>
      <c r="K27" s="954"/>
      <c r="L27" s="955"/>
      <c r="N27" s="303"/>
    </row>
    <row r="28" spans="6:14" x14ac:dyDescent="0.25">
      <c r="H28" s="307" t="s">
        <v>254</v>
      </c>
      <c r="I28" s="307" t="s">
        <v>255</v>
      </c>
      <c r="J28" s="307" t="s">
        <v>249</v>
      </c>
      <c r="K28" s="307" t="s">
        <v>250</v>
      </c>
      <c r="L28" s="307" t="s">
        <v>251</v>
      </c>
      <c r="N28" s="303"/>
    </row>
    <row r="29" spans="6:14" x14ac:dyDescent="0.25">
      <c r="G29" s="322" t="s">
        <v>258</v>
      </c>
      <c r="H29" s="323" t="s">
        <v>104</v>
      </c>
      <c r="I29" s="323" t="s">
        <v>274</v>
      </c>
      <c r="J29" s="323" t="s">
        <v>275</v>
      </c>
      <c r="K29" s="323">
        <v>4500</v>
      </c>
      <c r="L29" s="323">
        <v>6750</v>
      </c>
      <c r="N29" s="303"/>
    </row>
    <row r="30" spans="6:14" x14ac:dyDescent="0.25">
      <c r="G30" s="322" t="s">
        <v>93</v>
      </c>
      <c r="H30" s="323" t="s">
        <v>104</v>
      </c>
      <c r="I30" s="323" t="s">
        <v>274</v>
      </c>
      <c r="J30" s="323" t="s">
        <v>443</v>
      </c>
      <c r="K30" s="323">
        <v>4625</v>
      </c>
      <c r="L30" s="323">
        <v>6935</v>
      </c>
      <c r="N30" s="303"/>
    </row>
    <row r="31" spans="6:14" x14ac:dyDescent="0.25">
      <c r="N31" s="303"/>
    </row>
    <row r="32" spans="6:14" x14ac:dyDescent="0.25">
      <c r="N32" s="303"/>
    </row>
    <row r="33" spans="14:14" x14ac:dyDescent="0.25">
      <c r="N33" s="303"/>
    </row>
  </sheetData>
  <sheetProtection password="9A3D" sheet="1" objects="1" scenarios="1"/>
  <mergeCells count="6">
    <mergeCell ref="G15:G24"/>
    <mergeCell ref="H27:L27"/>
    <mergeCell ref="A3:D3"/>
    <mergeCell ref="H3:L3"/>
    <mergeCell ref="G5:G14"/>
    <mergeCell ref="A10:D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322"/>
  <sheetViews>
    <sheetView topLeftCell="A10" workbookViewId="0">
      <selection activeCell="C28" sqref="C28"/>
    </sheetView>
  </sheetViews>
  <sheetFormatPr defaultColWidth="0" defaultRowHeight="12.75" zeroHeight="1" x14ac:dyDescent="0.2"/>
  <cols>
    <col min="1" max="1" width="5.7109375" style="4" bestFit="1" customWidth="1"/>
    <col min="2" max="2" width="32.5703125" style="4" customWidth="1"/>
    <col min="3" max="3" width="42.5703125" style="4" customWidth="1"/>
    <col min="4" max="4" width="18" style="4" customWidth="1"/>
    <col min="5" max="5" width="17.85546875" style="4" customWidth="1"/>
    <col min="6" max="6" width="17.5703125" style="4" customWidth="1"/>
    <col min="7" max="7" width="18.140625" style="4" customWidth="1"/>
    <col min="8" max="8" width="14" style="4" customWidth="1"/>
    <col min="9" max="9" width="15.7109375" style="2" customWidth="1"/>
    <col min="10" max="10" width="16.140625" style="4" customWidth="1"/>
    <col min="11" max="11" width="15.7109375" style="2" customWidth="1"/>
    <col min="12" max="12" width="4.5703125" style="2" hidden="1" customWidth="1"/>
    <col min="13" max="13" width="12.42578125" style="2" hidden="1" customWidth="1"/>
    <col min="14" max="14" width="17" style="1" hidden="1" customWidth="1"/>
    <col min="15" max="15" width="25.7109375" style="2" hidden="1" customWidth="1"/>
    <col min="16" max="16" width="17.140625" style="2" hidden="1" customWidth="1"/>
    <col min="17" max="19" width="17" style="2" hidden="1" customWidth="1"/>
    <col min="20" max="20" width="21" style="3" hidden="1" customWidth="1"/>
    <col min="21" max="21" width="18.7109375" style="3" hidden="1" customWidth="1"/>
    <col min="22" max="22" width="9.140625" style="4" hidden="1" customWidth="1"/>
    <col min="23" max="23" width="11.140625" style="4" hidden="1" customWidth="1"/>
    <col min="24" max="24" width="9.140625" style="4" hidden="1" customWidth="1"/>
    <col min="25" max="25" width="12.7109375" style="4" hidden="1" customWidth="1"/>
    <col min="26" max="16384" width="9.140625" style="342" hidden="1"/>
  </cols>
  <sheetData>
    <row r="1" spans="1:25" s="2" customFormat="1" hidden="1" x14ac:dyDescent="0.25">
      <c r="A1" s="6" t="s">
        <v>1</v>
      </c>
      <c r="B1" s="420" t="s">
        <v>2</v>
      </c>
      <c r="C1" s="7" t="s">
        <v>3</v>
      </c>
      <c r="D1" s="420" t="s">
        <v>4</v>
      </c>
      <c r="E1" s="420" t="s">
        <v>5</v>
      </c>
      <c r="F1" s="7" t="s">
        <v>6</v>
      </c>
      <c r="G1" s="420" t="s">
        <v>7</v>
      </c>
      <c r="H1" s="420"/>
      <c r="I1" s="420" t="s">
        <v>8</v>
      </c>
      <c r="J1" s="7" t="s">
        <v>9</v>
      </c>
      <c r="K1" s="421" t="s">
        <v>10</v>
      </c>
      <c r="L1" s="413" t="s">
        <v>11</v>
      </c>
      <c r="M1" s="414" t="s">
        <v>0</v>
      </c>
      <c r="N1" s="1"/>
      <c r="V1" s="3"/>
      <c r="W1" s="3"/>
      <c r="X1" s="3"/>
    </row>
    <row r="2" spans="1:25" ht="30.75" customHeight="1" x14ac:dyDescent="0.2">
      <c r="A2" s="593" t="s">
        <v>434</v>
      </c>
      <c r="B2" s="594"/>
      <c r="C2" s="594"/>
      <c r="D2" s="594"/>
      <c r="E2" s="594"/>
      <c r="F2" s="594"/>
      <c r="G2" s="594"/>
      <c r="H2" s="594"/>
      <c r="I2" s="594"/>
      <c r="J2" s="594"/>
      <c r="K2" s="594"/>
      <c r="L2" s="595" t="s">
        <v>58</v>
      </c>
      <c r="M2" s="596"/>
      <c r="N2" s="2"/>
      <c r="T2" s="2"/>
      <c r="V2" s="3"/>
      <c r="W2" s="3"/>
    </row>
    <row r="3" spans="1:25" ht="18.75" customHeight="1" x14ac:dyDescent="0.2">
      <c r="A3" s="597" t="str">
        <f>Contact!A2</f>
        <v>Institution name: Derby College</v>
      </c>
      <c r="B3" s="598"/>
      <c r="C3" s="598"/>
      <c r="D3" s="598"/>
      <c r="E3" s="598"/>
      <c r="F3" s="598"/>
      <c r="G3" s="598"/>
      <c r="H3" s="598"/>
      <c r="I3" s="598"/>
      <c r="J3" s="598"/>
      <c r="K3" s="598"/>
      <c r="L3" s="413"/>
      <c r="M3" s="414"/>
      <c r="N3" s="2"/>
      <c r="T3" s="2"/>
      <c r="V3" s="3"/>
      <c r="W3" s="3"/>
    </row>
    <row r="4" spans="1:25" ht="18.75" customHeight="1" x14ac:dyDescent="0.2">
      <c r="A4" s="599" t="str">
        <f>Contact!A3</f>
        <v>Institution UKPRN: 10001919</v>
      </c>
      <c r="B4" s="600"/>
      <c r="C4" s="600"/>
      <c r="D4" s="600"/>
      <c r="E4" s="600"/>
      <c r="F4" s="600"/>
      <c r="G4" s="600"/>
      <c r="H4" s="600"/>
      <c r="I4" s="600"/>
      <c r="J4" s="600"/>
      <c r="K4" s="600"/>
      <c r="L4" s="413"/>
      <c r="M4" s="414"/>
      <c r="N4" s="2"/>
      <c r="T4" s="2"/>
      <c r="V4" s="3"/>
      <c r="W4" s="3"/>
    </row>
    <row r="5" spans="1:25" ht="18.75" hidden="1" customHeight="1" x14ac:dyDescent="0.2">
      <c r="A5" s="507"/>
      <c r="B5" s="507"/>
      <c r="C5" s="507"/>
      <c r="D5" s="606" t="s">
        <v>563</v>
      </c>
      <c r="E5" s="607"/>
      <c r="F5" s="607"/>
      <c r="G5" s="608"/>
      <c r="H5" s="507"/>
      <c r="I5" s="507"/>
      <c r="J5" s="507"/>
      <c r="K5" s="507"/>
      <c r="L5" s="506" t="s">
        <v>564</v>
      </c>
      <c r="M5" s="507"/>
      <c r="N5" s="2"/>
      <c r="T5" s="2"/>
      <c r="V5" s="3"/>
      <c r="W5" s="3"/>
    </row>
    <row r="6" spans="1:25" s="341" customFormat="1" ht="18" customHeight="1" x14ac:dyDescent="0.25">
      <c r="A6" s="597" t="s">
        <v>535</v>
      </c>
      <c r="B6" s="598"/>
      <c r="C6" s="598"/>
      <c r="D6" s="603" t="s">
        <v>532</v>
      </c>
      <c r="E6" s="604"/>
      <c r="F6" s="604"/>
      <c r="G6" s="605"/>
      <c r="H6" s="397"/>
      <c r="I6" s="397"/>
      <c r="J6" s="397"/>
      <c r="K6" s="397"/>
      <c r="L6" s="413" t="s">
        <v>93</v>
      </c>
      <c r="M6" s="414"/>
      <c r="N6" s="27"/>
      <c r="O6" s="27"/>
      <c r="P6" s="27"/>
      <c r="Q6" s="27"/>
      <c r="R6" s="27"/>
      <c r="S6" s="27"/>
      <c r="T6" s="27"/>
      <c r="U6" s="27"/>
      <c r="V6" s="27"/>
      <c r="W6" s="27"/>
      <c r="X6" s="27"/>
      <c r="Y6" s="27"/>
    </row>
    <row r="7" spans="1:25" ht="18.75" customHeight="1" x14ac:dyDescent="0.2">
      <c r="A7" s="601"/>
      <c r="B7" s="602"/>
      <c r="C7" s="602"/>
      <c r="D7" s="602"/>
      <c r="E7" s="602"/>
      <c r="F7" s="602"/>
      <c r="G7" s="602"/>
      <c r="H7" s="602"/>
      <c r="I7" s="602"/>
      <c r="J7" s="602"/>
      <c r="K7" s="602"/>
      <c r="L7" s="413"/>
      <c r="M7" s="414"/>
      <c r="N7" s="2"/>
      <c r="T7" s="2"/>
      <c r="V7" s="3"/>
      <c r="W7" s="3"/>
    </row>
    <row r="8" spans="1:25" ht="18.75" customHeight="1" x14ac:dyDescent="0.2">
      <c r="A8" s="586" t="s">
        <v>59</v>
      </c>
      <c r="B8" s="587"/>
      <c r="C8" s="587"/>
      <c r="D8" s="587"/>
      <c r="E8" s="587"/>
      <c r="F8" s="587"/>
      <c r="G8" s="587"/>
      <c r="H8" s="587"/>
      <c r="I8" s="587"/>
      <c r="J8" s="587"/>
      <c r="K8" s="587"/>
      <c r="L8" s="413"/>
      <c r="M8" s="414"/>
      <c r="N8" s="31" t="s">
        <v>35</v>
      </c>
      <c r="T8" s="2"/>
      <c r="V8" s="3"/>
      <c r="W8" s="3"/>
    </row>
    <row r="9" spans="1:25" ht="18.75" customHeight="1" x14ac:dyDescent="0.2">
      <c r="A9" s="588" t="s">
        <v>533</v>
      </c>
      <c r="B9" s="589"/>
      <c r="C9" s="589"/>
      <c r="D9" s="589"/>
      <c r="E9" s="589"/>
      <c r="F9" s="589"/>
      <c r="G9" s="589"/>
      <c r="H9" s="589"/>
      <c r="I9" s="589"/>
      <c r="J9" s="589"/>
      <c r="K9" s="590"/>
      <c r="L9" s="413"/>
      <c r="M9" s="414"/>
      <c r="N9" s="34" t="str">
        <f>IF(COUNTBLANK(D6)=0,"PASSED","FAILED")</f>
        <v>PASSED</v>
      </c>
      <c r="T9" s="2"/>
      <c r="V9" s="3"/>
      <c r="W9" s="3"/>
    </row>
    <row r="10" spans="1:25" ht="18.75" customHeight="1" x14ac:dyDescent="0.2">
      <c r="A10" s="588" t="s">
        <v>437</v>
      </c>
      <c r="B10" s="589"/>
      <c r="C10" s="589"/>
      <c r="D10" s="589"/>
      <c r="E10" s="589"/>
      <c r="F10" s="589"/>
      <c r="G10" s="589"/>
      <c r="H10" s="589"/>
      <c r="I10" s="589"/>
      <c r="J10" s="589"/>
      <c r="K10" s="590"/>
      <c r="L10" s="413"/>
      <c r="M10" s="414"/>
      <c r="N10" s="33" t="str">
        <f>IF(COUNTBLANK(B22:D171)+COUNTBLANK(H22:K171)=1050,"FAILED","PASSED")</f>
        <v>PASSED</v>
      </c>
      <c r="T10" s="2"/>
      <c r="V10" s="3"/>
      <c r="W10" s="3"/>
    </row>
    <row r="11" spans="1:25" ht="18.75" customHeight="1" x14ac:dyDescent="0.2">
      <c r="A11" s="588" t="s">
        <v>571</v>
      </c>
      <c r="B11" s="589"/>
      <c r="C11" s="589"/>
      <c r="D11" s="589"/>
      <c r="E11" s="589"/>
      <c r="F11" s="589"/>
      <c r="G11" s="589"/>
      <c r="H11" s="589"/>
      <c r="I11" s="589"/>
      <c r="J11" s="589"/>
      <c r="K11" s="590"/>
      <c r="L11" s="413"/>
      <c r="M11" s="414"/>
      <c r="N11" s="34" t="str">
        <f>IF(AND(COUNTIF(V22:V171,"")&lt;150,COUNTIF(V22:V171,"NO")&gt;0),"FAILED","PASSED")</f>
        <v>PASSED</v>
      </c>
      <c r="T11" s="2"/>
      <c r="V11" s="3"/>
      <c r="W11" s="3"/>
    </row>
    <row r="12" spans="1:25" ht="18.75" customHeight="1" x14ac:dyDescent="0.2">
      <c r="A12" s="588" t="s">
        <v>507</v>
      </c>
      <c r="B12" s="589"/>
      <c r="C12" s="589"/>
      <c r="D12" s="589"/>
      <c r="E12" s="589"/>
      <c r="F12" s="589"/>
      <c r="G12" s="589"/>
      <c r="H12" s="589"/>
      <c r="I12" s="589"/>
      <c r="J12" s="589"/>
      <c r="K12" s="590"/>
      <c r="L12" s="440"/>
      <c r="M12" s="441"/>
      <c r="N12" s="34" t="str">
        <f>IF(COUNTBLANK(H22:H171)=150,"FAILED","PASSED")</f>
        <v>PASSED</v>
      </c>
      <c r="T12" s="2"/>
      <c r="V12" s="3"/>
      <c r="W12" s="3"/>
    </row>
    <row r="13" spans="1:25" ht="18.75" customHeight="1" x14ac:dyDescent="0.2">
      <c r="A13" s="588" t="s">
        <v>481</v>
      </c>
      <c r="B13" s="589"/>
      <c r="C13" s="589"/>
      <c r="D13" s="589"/>
      <c r="E13" s="589"/>
      <c r="F13" s="589"/>
      <c r="G13" s="589"/>
      <c r="H13" s="589"/>
      <c r="I13" s="589"/>
      <c r="J13" s="589"/>
      <c r="K13" s="590"/>
      <c r="L13" s="413"/>
      <c r="M13" s="414"/>
      <c r="N13" s="34" t="str">
        <f>IF((COUNTIF(T22:T171,"AHFC"))&gt;0,"FAILED","PASSED")</f>
        <v>PASSED</v>
      </c>
      <c r="T13" s="2"/>
      <c r="V13" s="3"/>
      <c r="W13" s="3"/>
    </row>
    <row r="14" spans="1:25" ht="18.75" customHeight="1" x14ac:dyDescent="0.2">
      <c r="A14" s="591"/>
      <c r="B14" s="592"/>
      <c r="C14" s="592"/>
      <c r="D14" s="592"/>
      <c r="E14" s="592"/>
      <c r="F14" s="592"/>
      <c r="G14" s="592"/>
      <c r="H14" s="592"/>
      <c r="I14" s="592"/>
      <c r="J14" s="592"/>
      <c r="K14" s="592"/>
      <c r="L14" s="413"/>
      <c r="M14" s="414"/>
      <c r="N14" s="2"/>
      <c r="T14" s="2"/>
      <c r="V14" s="3"/>
      <c r="W14" s="3"/>
    </row>
    <row r="15" spans="1:25" ht="18.75" hidden="1" customHeight="1" x14ac:dyDescent="0.2">
      <c r="A15" s="597" t="s">
        <v>60</v>
      </c>
      <c r="B15" s="598"/>
      <c r="C15" s="598"/>
      <c r="D15" s="598"/>
      <c r="E15" s="598"/>
      <c r="F15" s="598"/>
      <c r="G15" s="598"/>
      <c r="H15" s="598"/>
      <c r="I15" s="598"/>
      <c r="J15" s="598"/>
      <c r="K15" s="598"/>
      <c r="L15" s="413"/>
      <c r="M15" s="414"/>
      <c r="N15" s="2"/>
      <c r="T15" s="2"/>
      <c r="V15" s="3"/>
      <c r="W15" s="3"/>
    </row>
    <row r="16" spans="1:25" ht="14.25" hidden="1" x14ac:dyDescent="0.2">
      <c r="A16" s="610" t="s">
        <v>435</v>
      </c>
      <c r="B16" s="611"/>
      <c r="C16" s="611"/>
      <c r="D16" s="611"/>
      <c r="E16" s="611"/>
      <c r="F16" s="611"/>
      <c r="G16" s="611"/>
      <c r="H16" s="611"/>
      <c r="I16" s="611"/>
      <c r="J16" s="611"/>
      <c r="K16" s="611"/>
      <c r="L16" s="413"/>
      <c r="M16" s="414"/>
      <c r="N16" s="4"/>
      <c r="T16" s="2"/>
      <c r="U16" s="2"/>
      <c r="V16" s="3"/>
      <c r="W16" s="3"/>
      <c r="X16" s="3"/>
    </row>
    <row r="17" spans="1:29" ht="21.75" hidden="1" customHeight="1" x14ac:dyDescent="0.2">
      <c r="A17" s="612"/>
      <c r="B17" s="613"/>
      <c r="C17" s="613"/>
      <c r="D17" s="613"/>
      <c r="E17" s="613"/>
      <c r="F17" s="613"/>
      <c r="G17" s="613"/>
      <c r="H17" s="613"/>
      <c r="I17" s="613"/>
      <c r="J17" s="613"/>
      <c r="K17" s="614"/>
      <c r="L17" s="413"/>
      <c r="M17" s="414"/>
      <c r="N17" s="4"/>
      <c r="P17" s="67"/>
      <c r="T17" s="2"/>
      <c r="U17" s="2"/>
      <c r="V17" s="3"/>
      <c r="W17" s="3"/>
      <c r="X17" s="3"/>
    </row>
    <row r="18" spans="1:29" ht="21.75" hidden="1" customHeight="1" x14ac:dyDescent="0.2">
      <c r="A18" s="6" t="s">
        <v>1</v>
      </c>
      <c r="B18" s="420" t="s">
        <v>2</v>
      </c>
      <c r="C18" s="7" t="s">
        <v>3</v>
      </c>
      <c r="D18" s="420" t="s">
        <v>5</v>
      </c>
      <c r="E18" s="7" t="s">
        <v>6</v>
      </c>
      <c r="F18" s="420" t="s">
        <v>7</v>
      </c>
      <c r="G18" s="420" t="s">
        <v>405</v>
      </c>
      <c r="H18" s="420" t="s">
        <v>415</v>
      </c>
      <c r="I18" s="420" t="s">
        <v>8</v>
      </c>
      <c r="J18" s="7" t="s">
        <v>9</v>
      </c>
      <c r="K18" s="421" t="s">
        <v>10</v>
      </c>
      <c r="L18" s="413" t="s">
        <v>11</v>
      </c>
      <c r="M18" s="414" t="s">
        <v>0</v>
      </c>
      <c r="N18" s="2"/>
      <c r="Q18" s="3"/>
      <c r="R18" s="3"/>
      <c r="S18" s="3"/>
      <c r="T18" s="4"/>
      <c r="U18" s="4"/>
    </row>
    <row r="19" spans="1:29" ht="30" customHeight="1" x14ac:dyDescent="0.2">
      <c r="A19" s="615" t="s">
        <v>12</v>
      </c>
      <c r="B19" s="616"/>
      <c r="C19" s="616"/>
      <c r="D19" s="616"/>
      <c r="E19" s="616"/>
      <c r="F19" s="616"/>
      <c r="G19" s="616"/>
      <c r="H19" s="616"/>
      <c r="I19" s="616"/>
      <c r="J19" s="616"/>
      <c r="K19" s="617"/>
      <c r="L19" s="413"/>
      <c r="M19" s="414"/>
      <c r="N19" s="5"/>
      <c r="O19" s="23"/>
      <c r="P19" s="23"/>
      <c r="Q19" s="23"/>
      <c r="R19" s="23"/>
      <c r="S19" s="23"/>
      <c r="T19" s="23"/>
      <c r="U19" s="23"/>
      <c r="V19" s="23"/>
      <c r="W19" s="23"/>
      <c r="X19" s="23"/>
      <c r="Y19" s="23"/>
    </row>
    <row r="20" spans="1:29" ht="30" customHeight="1" x14ac:dyDescent="0.2">
      <c r="A20" s="618" t="s">
        <v>14</v>
      </c>
      <c r="B20" s="618" t="s">
        <v>407</v>
      </c>
      <c r="C20" s="618" t="s">
        <v>436</v>
      </c>
      <c r="D20" s="620" t="s">
        <v>534</v>
      </c>
      <c r="E20" s="620"/>
      <c r="F20" s="620"/>
      <c r="G20" s="621"/>
      <c r="H20" s="618" t="s">
        <v>408</v>
      </c>
      <c r="I20" s="622" t="s">
        <v>66</v>
      </c>
      <c r="J20" s="623"/>
      <c r="K20" s="624"/>
      <c r="L20" s="413"/>
      <c r="M20" s="414"/>
      <c r="N20" s="5"/>
      <c r="O20" s="585" t="s">
        <v>93</v>
      </c>
      <c r="P20" s="581" t="s">
        <v>16</v>
      </c>
      <c r="Q20" s="582" t="s">
        <v>91</v>
      </c>
      <c r="R20" s="584" t="s">
        <v>89</v>
      </c>
      <c r="S20" s="584" t="s">
        <v>17</v>
      </c>
      <c r="T20" s="581" t="s">
        <v>90</v>
      </c>
      <c r="U20" s="581" t="s">
        <v>18</v>
      </c>
      <c r="V20" s="579" t="s">
        <v>19</v>
      </c>
      <c r="W20" s="580" t="s">
        <v>20</v>
      </c>
      <c r="X20" s="580" t="s">
        <v>21</v>
      </c>
      <c r="Y20" s="580" t="s">
        <v>92</v>
      </c>
      <c r="Z20" s="609" t="s">
        <v>511</v>
      </c>
      <c r="AA20" s="609" t="s">
        <v>512</v>
      </c>
      <c r="AB20" s="609" t="s">
        <v>513</v>
      </c>
      <c r="AC20" s="609" t="s">
        <v>514</v>
      </c>
    </row>
    <row r="21" spans="1:29" ht="30" customHeight="1" x14ac:dyDescent="0.2">
      <c r="A21" s="619"/>
      <c r="B21" s="619"/>
      <c r="C21" s="619"/>
      <c r="D21" s="69" t="s">
        <v>26</v>
      </c>
      <c r="E21" s="69" t="s">
        <v>27</v>
      </c>
      <c r="F21" s="69" t="s">
        <v>28</v>
      </c>
      <c r="G21" s="69" t="s">
        <v>30</v>
      </c>
      <c r="H21" s="619"/>
      <c r="I21" s="485" t="s">
        <v>24</v>
      </c>
      <c r="J21" s="499" t="s">
        <v>22</v>
      </c>
      <c r="K21" s="499" t="s">
        <v>23</v>
      </c>
      <c r="L21" s="413"/>
      <c r="M21" s="414"/>
      <c r="N21" s="5"/>
      <c r="O21" s="585"/>
      <c r="P21" s="581"/>
      <c r="Q21" s="583"/>
      <c r="R21" s="585"/>
      <c r="S21" s="585"/>
      <c r="T21" s="581"/>
      <c r="U21" s="581"/>
      <c r="V21" s="579"/>
      <c r="W21" s="579"/>
      <c r="X21" s="579"/>
      <c r="Y21" s="579"/>
      <c r="Z21" s="609"/>
      <c r="AA21" s="609"/>
      <c r="AB21" s="609"/>
      <c r="AC21" s="609"/>
    </row>
    <row r="22" spans="1:29" ht="12.75" customHeight="1" x14ac:dyDescent="0.2">
      <c r="A22" s="70">
        <v>1</v>
      </c>
      <c r="B22" s="9" t="s">
        <v>259</v>
      </c>
      <c r="C22" s="9" t="s">
        <v>601</v>
      </c>
      <c r="D22" s="486">
        <v>35</v>
      </c>
      <c r="E22" s="486">
        <v>52</v>
      </c>
      <c r="F22" s="486">
        <v>62</v>
      </c>
      <c r="G22" s="486">
        <v>75</v>
      </c>
      <c r="H22" s="9" t="s">
        <v>115</v>
      </c>
      <c r="I22" s="490">
        <v>7999</v>
      </c>
      <c r="J22" s="489">
        <f>IFERROR(VLOOKUP($Q22,FeeLookup!$J$5:$L$33,2,FALSE),"")</f>
        <v>6165</v>
      </c>
      <c r="K22" s="489">
        <f>IFERROR(VLOOKUP($Q22,FeeLookup!$J$5:$L$33,3,FALSE),"")</f>
        <v>9250</v>
      </c>
      <c r="L22" s="413" t="s">
        <v>29</v>
      </c>
      <c r="M22" s="414">
        <v>1</v>
      </c>
      <c r="N22" s="5">
        <f>VALUE(I22)</f>
        <v>7999</v>
      </c>
      <c r="O22" s="12" t="str">
        <f>IF($D$6="We hold or have applied for a TEF award for 2019-20.","TEF","No TEF")</f>
        <v>TEF</v>
      </c>
      <c r="P22" s="12" t="str">
        <f>IF(B22="","",IF(B22="Erasmus and overseas study years","LOWER",IF(B22="Sandwich year","SAND",IF(B22="Accelerated Degree","ACCEL","FULL"))))</f>
        <v>FULL</v>
      </c>
      <c r="Q22" s="13" t="str">
        <f>CONCATENATE(P22,IF(O22="No TEF","_NO_TEF_",IF(O22="TEF","_TEF_","")))</f>
        <v>FULL_TEF_</v>
      </c>
      <c r="R22" s="13">
        <f>IF(J22="","",IF(I22="","0",I22))</f>
        <v>7999</v>
      </c>
      <c r="S22" s="12" t="str">
        <f>IF(J22="","",IF((R22-J22)&gt;0,"YES","NO"))</f>
        <v>YES</v>
      </c>
      <c r="T22" s="12" t="str">
        <f t="shared" ref="T22:T85" si="0">IF(I22="","",IF(I22&lt;J22,"BBFC",IF(I22&gt;K22,"AHFC","BBHFC")))</f>
        <v>BBHFC</v>
      </c>
      <c r="U22" s="12" t="str">
        <f t="shared" ref="U22:U53" si="1">IF(COUNTBLANK(B22:I22)=8,"NO","YES")</f>
        <v>YES</v>
      </c>
      <c r="V22" s="14" t="str">
        <f>IF(U22="NO","",IF(AND((COUNTBLANK(B22:B22)=0),COUNTBLANK(I22)=0,COUNTBLANK(H22)=0,COUNTBLANK(D22:G22)&lt;&gt;4),"YES","NO"))</f>
        <v>YES</v>
      </c>
      <c r="W22" s="14" t="str">
        <f>IF(U22="NO","",IF(SUM(D22:G22)&gt;0,"YES","NO"))</f>
        <v>YES</v>
      </c>
      <c r="X22" s="14" t="str">
        <f>IF(OR(V22="NO",W22="NO",T22="AHFC"),"FLAG","")</f>
        <v/>
      </c>
      <c r="Y22" s="15">
        <f t="shared" ref="Y22:Y85" si="2">IF(OR(I22="",V22=""),"",IF(I22-J22&lt;0,0,I22-J22))</f>
        <v>1834</v>
      </c>
      <c r="Z22" s="342">
        <f>IF(IF(ISERROR($I22-$J22)=TRUE,0,$I22-$J22)&gt;0,D22,0)</f>
        <v>35</v>
      </c>
      <c r="AA22" s="342">
        <f t="shared" ref="AA22:AC37" si="3">IF(IF(ISERROR($I22-$J22)=TRUE,0,$I22-$J22)&gt;0,E22,0)</f>
        <v>52</v>
      </c>
      <c r="AB22" s="342">
        <f t="shared" si="3"/>
        <v>62</v>
      </c>
      <c r="AC22" s="342">
        <f t="shared" si="3"/>
        <v>75</v>
      </c>
    </row>
    <row r="23" spans="1:29" ht="12.75" customHeight="1" x14ac:dyDescent="0.2">
      <c r="A23" s="71">
        <v>2</v>
      </c>
      <c r="B23" s="17" t="s">
        <v>259</v>
      </c>
      <c r="C23" s="17"/>
      <c r="D23" s="487">
        <v>48</v>
      </c>
      <c r="E23" s="487">
        <v>52</v>
      </c>
      <c r="F23" s="487">
        <v>56</v>
      </c>
      <c r="G23" s="487">
        <v>60</v>
      </c>
      <c r="H23" s="17" t="s">
        <v>115</v>
      </c>
      <c r="I23" s="492">
        <v>6165</v>
      </c>
      <c r="J23" s="489">
        <f>IFERROR(VLOOKUP($Q23,FeeLookup!$J$5:$L$33,2,FALSE),"")</f>
        <v>6165</v>
      </c>
      <c r="K23" s="489">
        <f>IFERROR(VLOOKUP($Q23,FeeLookup!$J$5:$L$33,3,FALSE),"")</f>
        <v>9250</v>
      </c>
      <c r="L23" s="413" t="s">
        <v>29</v>
      </c>
      <c r="M23" s="414">
        <v>2</v>
      </c>
      <c r="N23" s="5">
        <f t="shared" ref="N23:N86" si="4">VALUE(I23)</f>
        <v>6165</v>
      </c>
      <c r="O23" s="12" t="str">
        <f t="shared" ref="O23:O86" si="5">IF($D$6="We hold or have applied for a TEF award for 2019-20.","TEF","No TEF")</f>
        <v>TEF</v>
      </c>
      <c r="P23" s="12" t="str">
        <f t="shared" ref="P23:P86" si="6">IF(B23="","",IF(B23="Erasmus and overseas study years","LOWER",IF(B23="Sandwich year","SAND",IF(B23="Accelerated Degree","ACCEL","FULL"))))</f>
        <v>FULL</v>
      </c>
      <c r="Q23" s="13" t="str">
        <f t="shared" ref="Q23:Q86" si="7">CONCATENATE(P23,IF(O23="No TEF","_NO_TEF_",IF(O23="TEF","_TEF_","")))</f>
        <v>FULL_TEF_</v>
      </c>
      <c r="R23" s="13">
        <f t="shared" ref="R23:R86" si="8">IF(J23="","",IF(I23="","0",I23))</f>
        <v>6165</v>
      </c>
      <c r="S23" s="12" t="str">
        <f t="shared" ref="S23:S86" si="9">IF(J23="","",IF((R23-J23)&gt;0,"YES","NO"))</f>
        <v>NO</v>
      </c>
      <c r="T23" s="12" t="str">
        <f t="shared" si="0"/>
        <v>BBHFC</v>
      </c>
      <c r="U23" s="12" t="str">
        <f t="shared" si="1"/>
        <v>YES</v>
      </c>
      <c r="V23" s="14" t="str">
        <f t="shared" ref="V23:V86" si="10">IF(U23="NO","",IF(AND((COUNTBLANK(B23:B23)=0),COUNTBLANK(I23)=0,COUNTBLANK(H23)=0,COUNTBLANK(D23:G23)&lt;&gt;4),"YES","NO"))</f>
        <v>YES</v>
      </c>
      <c r="W23" s="14" t="str">
        <f t="shared" ref="W23:W86" si="11">IF(U23="NO","",IF(SUM(D23:G23)&gt;0,"YES","NO"))</f>
        <v>YES</v>
      </c>
      <c r="X23" s="14" t="str">
        <f t="shared" ref="X23:X86" si="12">IF(OR(V23="NO",W23="NO",T23="AHFC"),"FLAG","")</f>
        <v/>
      </c>
      <c r="Y23" s="15">
        <f t="shared" si="2"/>
        <v>0</v>
      </c>
      <c r="Z23" s="342">
        <f t="shared" ref="Z23:Z86" si="13">IF(IF(ISERROR(I23-J23)=TRUE,0,I23-J23)&gt;0,D23,0)</f>
        <v>0</v>
      </c>
      <c r="AA23" s="342">
        <f t="shared" si="3"/>
        <v>0</v>
      </c>
      <c r="AB23" s="342">
        <f t="shared" si="3"/>
        <v>0</v>
      </c>
      <c r="AC23" s="342">
        <f t="shared" si="3"/>
        <v>0</v>
      </c>
    </row>
    <row r="24" spans="1:29" ht="12.75" customHeight="1" x14ac:dyDescent="0.2">
      <c r="A24" s="71">
        <v>3</v>
      </c>
      <c r="B24" s="17" t="s">
        <v>263</v>
      </c>
      <c r="C24" s="17" t="s">
        <v>602</v>
      </c>
      <c r="D24" s="487">
        <v>73</v>
      </c>
      <c r="E24" s="487">
        <v>80</v>
      </c>
      <c r="F24" s="487">
        <v>83</v>
      </c>
      <c r="G24" s="487">
        <v>87</v>
      </c>
      <c r="H24" s="17" t="s">
        <v>115</v>
      </c>
      <c r="I24" s="492">
        <v>7999</v>
      </c>
      <c r="J24" s="489">
        <f>IFERROR(VLOOKUP($Q24,FeeLookup!$J$5:$L$33,2,FALSE),"")</f>
        <v>6165</v>
      </c>
      <c r="K24" s="489">
        <f>IFERROR(VLOOKUP($Q24,FeeLookup!$J$5:$L$33,3,FALSE),"")</f>
        <v>9250</v>
      </c>
      <c r="L24" s="413" t="s">
        <v>29</v>
      </c>
      <c r="M24" s="414">
        <v>3</v>
      </c>
      <c r="N24" s="5">
        <f t="shared" si="4"/>
        <v>7999</v>
      </c>
      <c r="O24" s="12" t="str">
        <f t="shared" si="5"/>
        <v>TEF</v>
      </c>
      <c r="P24" s="12" t="str">
        <f t="shared" si="6"/>
        <v>FULL</v>
      </c>
      <c r="Q24" s="13" t="str">
        <f t="shared" si="7"/>
        <v>FULL_TEF_</v>
      </c>
      <c r="R24" s="13">
        <f t="shared" si="8"/>
        <v>7999</v>
      </c>
      <c r="S24" s="12" t="str">
        <f t="shared" si="9"/>
        <v>YES</v>
      </c>
      <c r="T24" s="12" t="str">
        <f t="shared" si="0"/>
        <v>BBHFC</v>
      </c>
      <c r="U24" s="12" t="str">
        <f t="shared" si="1"/>
        <v>YES</v>
      </c>
      <c r="V24" s="14" t="str">
        <f t="shared" si="10"/>
        <v>YES</v>
      </c>
      <c r="W24" s="14" t="str">
        <f t="shared" si="11"/>
        <v>YES</v>
      </c>
      <c r="X24" s="14" t="str">
        <f t="shared" si="12"/>
        <v/>
      </c>
      <c r="Y24" s="15">
        <f t="shared" si="2"/>
        <v>1834</v>
      </c>
      <c r="Z24" s="342">
        <f t="shared" si="13"/>
        <v>73</v>
      </c>
      <c r="AA24" s="342">
        <f t="shared" si="3"/>
        <v>80</v>
      </c>
      <c r="AB24" s="342">
        <f t="shared" si="3"/>
        <v>83</v>
      </c>
      <c r="AC24" s="342">
        <f t="shared" si="3"/>
        <v>87</v>
      </c>
    </row>
    <row r="25" spans="1:29" ht="12.75" customHeight="1" x14ac:dyDescent="0.2">
      <c r="A25" s="71">
        <v>4</v>
      </c>
      <c r="B25" s="17" t="s">
        <v>263</v>
      </c>
      <c r="C25" s="17"/>
      <c r="D25" s="487">
        <v>103</v>
      </c>
      <c r="E25" s="487">
        <v>115</v>
      </c>
      <c r="F25" s="487">
        <v>125</v>
      </c>
      <c r="G25" s="487">
        <v>138</v>
      </c>
      <c r="H25" s="17" t="s">
        <v>115</v>
      </c>
      <c r="I25" s="492">
        <v>6165</v>
      </c>
      <c r="J25" s="489">
        <f>IFERROR(VLOOKUP($Q25,FeeLookup!$J$5:$L$33,2,FALSE),"")</f>
        <v>6165</v>
      </c>
      <c r="K25" s="489">
        <f>IFERROR(VLOOKUP($Q25,FeeLookup!$J$5:$L$33,3,FALSE),"")</f>
        <v>9250</v>
      </c>
      <c r="L25" s="413" t="s">
        <v>29</v>
      </c>
      <c r="M25" s="414">
        <v>4</v>
      </c>
      <c r="N25" s="5">
        <f t="shared" si="4"/>
        <v>6165</v>
      </c>
      <c r="O25" s="12" t="str">
        <f t="shared" si="5"/>
        <v>TEF</v>
      </c>
      <c r="P25" s="12" t="str">
        <f t="shared" si="6"/>
        <v>FULL</v>
      </c>
      <c r="Q25" s="13" t="str">
        <f t="shared" si="7"/>
        <v>FULL_TEF_</v>
      </c>
      <c r="R25" s="13">
        <f t="shared" si="8"/>
        <v>6165</v>
      </c>
      <c r="S25" s="12" t="str">
        <f t="shared" si="9"/>
        <v>NO</v>
      </c>
      <c r="T25" s="12" t="str">
        <f t="shared" si="0"/>
        <v>BBHFC</v>
      </c>
      <c r="U25" s="12" t="str">
        <f t="shared" si="1"/>
        <v>YES</v>
      </c>
      <c r="V25" s="14" t="str">
        <f t="shared" si="10"/>
        <v>YES</v>
      </c>
      <c r="W25" s="14" t="str">
        <f t="shared" si="11"/>
        <v>YES</v>
      </c>
      <c r="X25" s="14" t="str">
        <f t="shared" si="12"/>
        <v/>
      </c>
      <c r="Y25" s="15">
        <f t="shared" si="2"/>
        <v>0</v>
      </c>
      <c r="Z25" s="342">
        <f t="shared" si="13"/>
        <v>0</v>
      </c>
      <c r="AA25" s="342">
        <f t="shared" si="3"/>
        <v>0</v>
      </c>
      <c r="AB25" s="342">
        <f t="shared" si="3"/>
        <v>0</v>
      </c>
      <c r="AC25" s="342">
        <f t="shared" si="3"/>
        <v>0</v>
      </c>
    </row>
    <row r="26" spans="1:29" ht="12.75" customHeight="1" x14ac:dyDescent="0.2">
      <c r="A26" s="71">
        <v>5</v>
      </c>
      <c r="B26" s="17"/>
      <c r="C26" s="17"/>
      <c r="D26" s="487"/>
      <c r="E26" s="487"/>
      <c r="F26" s="487"/>
      <c r="G26" s="487"/>
      <c r="H26" s="17"/>
      <c r="I26" s="492"/>
      <c r="J26" s="489" t="str">
        <f>IFERROR(VLOOKUP($Q26,FeeLookup!$J$5:$L$33,2,FALSE),"")</f>
        <v/>
      </c>
      <c r="K26" s="489" t="str">
        <f>IFERROR(VLOOKUP($Q26,FeeLookup!$J$5:$L$33,3,FALSE),"")</f>
        <v/>
      </c>
      <c r="L26" s="413" t="s">
        <v>29</v>
      </c>
      <c r="M26" s="414">
        <v>5</v>
      </c>
      <c r="N26" s="5">
        <f t="shared" si="4"/>
        <v>0</v>
      </c>
      <c r="O26" s="12" t="str">
        <f t="shared" si="5"/>
        <v>TEF</v>
      </c>
      <c r="P26" s="12" t="str">
        <f t="shared" si="6"/>
        <v/>
      </c>
      <c r="Q26" s="13" t="str">
        <f t="shared" si="7"/>
        <v>_TEF_</v>
      </c>
      <c r="R26" s="13" t="str">
        <f t="shared" si="8"/>
        <v/>
      </c>
      <c r="S26" s="12" t="str">
        <f t="shared" si="9"/>
        <v/>
      </c>
      <c r="T26" s="12" t="str">
        <f t="shared" si="0"/>
        <v/>
      </c>
      <c r="U26" s="12" t="str">
        <f t="shared" si="1"/>
        <v>NO</v>
      </c>
      <c r="V26" s="14" t="str">
        <f t="shared" si="10"/>
        <v/>
      </c>
      <c r="W26" s="14" t="str">
        <f t="shared" si="11"/>
        <v/>
      </c>
      <c r="X26" s="14" t="str">
        <f t="shared" si="12"/>
        <v/>
      </c>
      <c r="Y26" s="15" t="str">
        <f t="shared" si="2"/>
        <v/>
      </c>
      <c r="Z26" s="342">
        <f t="shared" si="13"/>
        <v>0</v>
      </c>
      <c r="AA26" s="342">
        <f t="shared" si="3"/>
        <v>0</v>
      </c>
      <c r="AB26" s="342">
        <f t="shared" si="3"/>
        <v>0</v>
      </c>
      <c r="AC26" s="342">
        <f t="shared" si="3"/>
        <v>0</v>
      </c>
    </row>
    <row r="27" spans="1:29" ht="12.75" customHeight="1" x14ac:dyDescent="0.2">
      <c r="A27" s="71">
        <v>6</v>
      </c>
      <c r="B27" s="17"/>
      <c r="C27" s="17"/>
      <c r="D27" s="487"/>
      <c r="E27" s="487"/>
      <c r="F27" s="487"/>
      <c r="G27" s="487"/>
      <c r="H27" s="17"/>
      <c r="I27" s="492"/>
      <c r="J27" s="489" t="str">
        <f>IFERROR(VLOOKUP($Q27,FeeLookup!$J$5:$L$33,2,FALSE),"")</f>
        <v/>
      </c>
      <c r="K27" s="489" t="str">
        <f>IFERROR(VLOOKUP($Q27,FeeLookup!$J$5:$L$33,3,FALSE),"")</f>
        <v/>
      </c>
      <c r="L27" s="413" t="s">
        <v>29</v>
      </c>
      <c r="M27" s="414">
        <v>6</v>
      </c>
      <c r="N27" s="5">
        <f t="shared" si="4"/>
        <v>0</v>
      </c>
      <c r="O27" s="12" t="str">
        <f t="shared" si="5"/>
        <v>TEF</v>
      </c>
      <c r="P27" s="12" t="str">
        <f t="shared" si="6"/>
        <v/>
      </c>
      <c r="Q27" s="13" t="str">
        <f t="shared" si="7"/>
        <v>_TEF_</v>
      </c>
      <c r="R27" s="13" t="str">
        <f t="shared" si="8"/>
        <v/>
      </c>
      <c r="S27" s="12" t="str">
        <f t="shared" si="9"/>
        <v/>
      </c>
      <c r="T27" s="12" t="str">
        <f t="shared" si="0"/>
        <v/>
      </c>
      <c r="U27" s="12" t="str">
        <f t="shared" si="1"/>
        <v>NO</v>
      </c>
      <c r="V27" s="14" t="str">
        <f t="shared" si="10"/>
        <v/>
      </c>
      <c r="W27" s="14" t="str">
        <f t="shared" si="11"/>
        <v/>
      </c>
      <c r="X27" s="14" t="str">
        <f t="shared" si="12"/>
        <v/>
      </c>
      <c r="Y27" s="15" t="str">
        <f t="shared" si="2"/>
        <v/>
      </c>
      <c r="Z27" s="342">
        <f t="shared" si="13"/>
        <v>0</v>
      </c>
      <c r="AA27" s="342">
        <f t="shared" si="3"/>
        <v>0</v>
      </c>
      <c r="AB27" s="342">
        <f t="shared" si="3"/>
        <v>0</v>
      </c>
      <c r="AC27" s="342">
        <f t="shared" si="3"/>
        <v>0</v>
      </c>
    </row>
    <row r="28" spans="1:29" ht="12.75" customHeight="1" x14ac:dyDescent="0.2">
      <c r="A28" s="71">
        <v>7</v>
      </c>
      <c r="B28" s="17"/>
      <c r="C28" s="17"/>
      <c r="D28" s="487"/>
      <c r="E28" s="487"/>
      <c r="F28" s="487"/>
      <c r="G28" s="487"/>
      <c r="H28" s="17"/>
      <c r="I28" s="492"/>
      <c r="J28" s="489" t="str">
        <f>IFERROR(VLOOKUP($Q28,FeeLookup!$J$5:$L$33,2,FALSE),"")</f>
        <v/>
      </c>
      <c r="K28" s="489" t="str">
        <f>IFERROR(VLOOKUP($Q28,FeeLookup!$J$5:$L$33,3,FALSE),"")</f>
        <v/>
      </c>
      <c r="L28" s="413" t="s">
        <v>29</v>
      </c>
      <c r="M28" s="414">
        <v>7</v>
      </c>
      <c r="N28" s="5">
        <f t="shared" si="4"/>
        <v>0</v>
      </c>
      <c r="O28" s="12" t="str">
        <f t="shared" si="5"/>
        <v>TEF</v>
      </c>
      <c r="P28" s="12" t="str">
        <f t="shared" si="6"/>
        <v/>
      </c>
      <c r="Q28" s="13" t="str">
        <f t="shared" si="7"/>
        <v>_TEF_</v>
      </c>
      <c r="R28" s="13" t="str">
        <f t="shared" si="8"/>
        <v/>
      </c>
      <c r="S28" s="12" t="str">
        <f t="shared" si="9"/>
        <v/>
      </c>
      <c r="T28" s="12" t="str">
        <f t="shared" si="0"/>
        <v/>
      </c>
      <c r="U28" s="12" t="str">
        <f t="shared" si="1"/>
        <v>NO</v>
      </c>
      <c r="V28" s="14" t="str">
        <f t="shared" si="10"/>
        <v/>
      </c>
      <c r="W28" s="14" t="str">
        <f t="shared" si="11"/>
        <v/>
      </c>
      <c r="X28" s="14" t="str">
        <f t="shared" si="12"/>
        <v/>
      </c>
      <c r="Y28" s="15" t="str">
        <f t="shared" si="2"/>
        <v/>
      </c>
      <c r="Z28" s="342">
        <f t="shared" si="13"/>
        <v>0</v>
      </c>
      <c r="AA28" s="342">
        <f t="shared" si="3"/>
        <v>0</v>
      </c>
      <c r="AB28" s="342">
        <f t="shared" si="3"/>
        <v>0</v>
      </c>
      <c r="AC28" s="342">
        <f t="shared" si="3"/>
        <v>0</v>
      </c>
    </row>
    <row r="29" spans="1:29" ht="12.75" customHeight="1" x14ac:dyDescent="0.2">
      <c r="A29" s="71">
        <v>8</v>
      </c>
      <c r="B29" s="17"/>
      <c r="C29" s="17"/>
      <c r="D29" s="487"/>
      <c r="E29" s="487"/>
      <c r="F29" s="487"/>
      <c r="G29" s="487"/>
      <c r="H29" s="17"/>
      <c r="I29" s="492"/>
      <c r="J29" s="489" t="str">
        <f>IFERROR(VLOOKUP($Q29,FeeLookup!$J$5:$L$33,2,FALSE),"")</f>
        <v/>
      </c>
      <c r="K29" s="489" t="str">
        <f>IFERROR(VLOOKUP($Q29,FeeLookup!$J$5:$L$33,3,FALSE),"")</f>
        <v/>
      </c>
      <c r="L29" s="413" t="s">
        <v>29</v>
      </c>
      <c r="M29" s="414">
        <v>8</v>
      </c>
      <c r="N29" s="5">
        <f t="shared" si="4"/>
        <v>0</v>
      </c>
      <c r="O29" s="12" t="str">
        <f t="shared" si="5"/>
        <v>TEF</v>
      </c>
      <c r="P29" s="12" t="str">
        <f t="shared" si="6"/>
        <v/>
      </c>
      <c r="Q29" s="13" t="str">
        <f t="shared" si="7"/>
        <v>_TEF_</v>
      </c>
      <c r="R29" s="13" t="str">
        <f t="shared" si="8"/>
        <v/>
      </c>
      <c r="S29" s="12" t="str">
        <f t="shared" si="9"/>
        <v/>
      </c>
      <c r="T29" s="12" t="str">
        <f t="shared" si="0"/>
        <v/>
      </c>
      <c r="U29" s="12" t="str">
        <f t="shared" si="1"/>
        <v>NO</v>
      </c>
      <c r="V29" s="14" t="str">
        <f t="shared" si="10"/>
        <v/>
      </c>
      <c r="W29" s="14" t="str">
        <f t="shared" si="11"/>
        <v/>
      </c>
      <c r="X29" s="14" t="str">
        <f t="shared" si="12"/>
        <v/>
      </c>
      <c r="Y29" s="15" t="str">
        <f t="shared" si="2"/>
        <v/>
      </c>
      <c r="Z29" s="342">
        <f t="shared" si="13"/>
        <v>0</v>
      </c>
      <c r="AA29" s="342">
        <f t="shared" si="3"/>
        <v>0</v>
      </c>
      <c r="AB29" s="342">
        <f t="shared" si="3"/>
        <v>0</v>
      </c>
      <c r="AC29" s="342">
        <f t="shared" si="3"/>
        <v>0</v>
      </c>
    </row>
    <row r="30" spans="1:29" ht="12.75" customHeight="1" x14ac:dyDescent="0.2">
      <c r="A30" s="71">
        <v>9</v>
      </c>
      <c r="B30" s="17"/>
      <c r="C30" s="17"/>
      <c r="D30" s="487"/>
      <c r="E30" s="487"/>
      <c r="F30" s="487"/>
      <c r="G30" s="487"/>
      <c r="H30" s="17"/>
      <c r="I30" s="492"/>
      <c r="J30" s="489" t="str">
        <f>IFERROR(VLOOKUP($Q30,FeeLookup!$J$5:$L$33,2,FALSE),"")</f>
        <v/>
      </c>
      <c r="K30" s="489" t="str">
        <f>IFERROR(VLOOKUP($Q30,FeeLookup!$J$5:$L$33,3,FALSE),"")</f>
        <v/>
      </c>
      <c r="L30" s="413" t="s">
        <v>29</v>
      </c>
      <c r="M30" s="414">
        <v>9</v>
      </c>
      <c r="N30" s="5">
        <f t="shared" si="4"/>
        <v>0</v>
      </c>
      <c r="O30" s="12" t="str">
        <f t="shared" si="5"/>
        <v>TEF</v>
      </c>
      <c r="P30" s="12" t="str">
        <f t="shared" si="6"/>
        <v/>
      </c>
      <c r="Q30" s="13" t="str">
        <f t="shared" si="7"/>
        <v>_TEF_</v>
      </c>
      <c r="R30" s="13" t="str">
        <f t="shared" si="8"/>
        <v/>
      </c>
      <c r="S30" s="12" t="str">
        <f t="shared" si="9"/>
        <v/>
      </c>
      <c r="T30" s="12" t="str">
        <f t="shared" si="0"/>
        <v/>
      </c>
      <c r="U30" s="12" t="str">
        <f t="shared" si="1"/>
        <v>NO</v>
      </c>
      <c r="V30" s="14" t="str">
        <f t="shared" si="10"/>
        <v/>
      </c>
      <c r="W30" s="14" t="str">
        <f t="shared" si="11"/>
        <v/>
      </c>
      <c r="X30" s="14" t="str">
        <f t="shared" si="12"/>
        <v/>
      </c>
      <c r="Y30" s="15" t="str">
        <f t="shared" si="2"/>
        <v/>
      </c>
      <c r="Z30" s="342">
        <f t="shared" si="13"/>
        <v>0</v>
      </c>
      <c r="AA30" s="342">
        <f t="shared" si="3"/>
        <v>0</v>
      </c>
      <c r="AB30" s="342">
        <f t="shared" si="3"/>
        <v>0</v>
      </c>
      <c r="AC30" s="342">
        <f t="shared" si="3"/>
        <v>0</v>
      </c>
    </row>
    <row r="31" spans="1:29" ht="12.75" customHeight="1" x14ac:dyDescent="0.2">
      <c r="A31" s="71">
        <v>10</v>
      </c>
      <c r="B31" s="17"/>
      <c r="C31" s="17"/>
      <c r="D31" s="487"/>
      <c r="E31" s="487"/>
      <c r="F31" s="487"/>
      <c r="G31" s="487"/>
      <c r="H31" s="17"/>
      <c r="I31" s="492"/>
      <c r="J31" s="489" t="str">
        <f>IFERROR(VLOOKUP($Q31,FeeLookup!$J$5:$L$33,2,FALSE),"")</f>
        <v/>
      </c>
      <c r="K31" s="489" t="str">
        <f>IFERROR(VLOOKUP($Q31,FeeLookup!$J$5:$L$33,3,FALSE),"")</f>
        <v/>
      </c>
      <c r="L31" s="413" t="s">
        <v>29</v>
      </c>
      <c r="M31" s="414">
        <v>10</v>
      </c>
      <c r="N31" s="5">
        <f t="shared" si="4"/>
        <v>0</v>
      </c>
      <c r="O31" s="12" t="str">
        <f t="shared" si="5"/>
        <v>TEF</v>
      </c>
      <c r="P31" s="12" t="str">
        <f t="shared" si="6"/>
        <v/>
      </c>
      <c r="Q31" s="13" t="str">
        <f t="shared" si="7"/>
        <v>_TEF_</v>
      </c>
      <c r="R31" s="13" t="str">
        <f t="shared" si="8"/>
        <v/>
      </c>
      <c r="S31" s="12" t="str">
        <f t="shared" si="9"/>
        <v/>
      </c>
      <c r="T31" s="12" t="str">
        <f t="shared" si="0"/>
        <v/>
      </c>
      <c r="U31" s="12" t="str">
        <f t="shared" si="1"/>
        <v>NO</v>
      </c>
      <c r="V31" s="14" t="str">
        <f t="shared" si="10"/>
        <v/>
      </c>
      <c r="W31" s="14" t="str">
        <f t="shared" si="11"/>
        <v/>
      </c>
      <c r="X31" s="14" t="str">
        <f t="shared" si="12"/>
        <v/>
      </c>
      <c r="Y31" s="15" t="str">
        <f t="shared" si="2"/>
        <v/>
      </c>
      <c r="Z31" s="342">
        <f t="shared" si="13"/>
        <v>0</v>
      </c>
      <c r="AA31" s="342">
        <f t="shared" si="3"/>
        <v>0</v>
      </c>
      <c r="AB31" s="342">
        <f t="shared" si="3"/>
        <v>0</v>
      </c>
      <c r="AC31" s="342">
        <f t="shared" si="3"/>
        <v>0</v>
      </c>
    </row>
    <row r="32" spans="1:29" ht="12.75" customHeight="1" x14ac:dyDescent="0.2">
      <c r="A32" s="71">
        <v>11</v>
      </c>
      <c r="B32" s="17"/>
      <c r="C32" s="17"/>
      <c r="D32" s="487"/>
      <c r="E32" s="487"/>
      <c r="F32" s="487"/>
      <c r="G32" s="487"/>
      <c r="H32" s="17"/>
      <c r="I32" s="492"/>
      <c r="J32" s="489" t="str">
        <f>IFERROR(VLOOKUP($Q32,FeeLookup!$J$5:$L$33,2,FALSE),"")</f>
        <v/>
      </c>
      <c r="K32" s="489" t="str">
        <f>IFERROR(VLOOKUP($Q32,FeeLookup!$J$5:$L$33,3,FALSE),"")</f>
        <v/>
      </c>
      <c r="L32" s="413" t="s">
        <v>29</v>
      </c>
      <c r="M32" s="414">
        <v>11</v>
      </c>
      <c r="N32" s="5">
        <f t="shared" si="4"/>
        <v>0</v>
      </c>
      <c r="O32" s="12" t="str">
        <f t="shared" si="5"/>
        <v>TEF</v>
      </c>
      <c r="P32" s="12" t="str">
        <f t="shared" si="6"/>
        <v/>
      </c>
      <c r="Q32" s="13" t="str">
        <f t="shared" si="7"/>
        <v>_TEF_</v>
      </c>
      <c r="R32" s="13" t="str">
        <f t="shared" si="8"/>
        <v/>
      </c>
      <c r="S32" s="12" t="str">
        <f t="shared" si="9"/>
        <v/>
      </c>
      <c r="T32" s="12" t="str">
        <f t="shared" si="0"/>
        <v/>
      </c>
      <c r="U32" s="12" t="str">
        <f t="shared" si="1"/>
        <v>NO</v>
      </c>
      <c r="V32" s="14" t="str">
        <f t="shared" si="10"/>
        <v/>
      </c>
      <c r="W32" s="14" t="str">
        <f t="shared" si="11"/>
        <v/>
      </c>
      <c r="X32" s="14" t="str">
        <f t="shared" si="12"/>
        <v/>
      </c>
      <c r="Y32" s="15" t="str">
        <f t="shared" si="2"/>
        <v/>
      </c>
      <c r="Z32" s="342">
        <f t="shared" si="13"/>
        <v>0</v>
      </c>
      <c r="AA32" s="342">
        <f t="shared" si="3"/>
        <v>0</v>
      </c>
      <c r="AB32" s="342">
        <f t="shared" si="3"/>
        <v>0</v>
      </c>
      <c r="AC32" s="342">
        <f t="shared" si="3"/>
        <v>0</v>
      </c>
    </row>
    <row r="33" spans="1:29" ht="12.75" customHeight="1" x14ac:dyDescent="0.2">
      <c r="A33" s="71">
        <v>12</v>
      </c>
      <c r="B33" s="17"/>
      <c r="C33" s="17"/>
      <c r="D33" s="487"/>
      <c r="E33" s="487"/>
      <c r="F33" s="487"/>
      <c r="G33" s="487"/>
      <c r="H33" s="17"/>
      <c r="I33" s="492"/>
      <c r="J33" s="489" t="str">
        <f>IFERROR(VLOOKUP($Q33,FeeLookup!$J$5:$L$33,2,FALSE),"")</f>
        <v/>
      </c>
      <c r="K33" s="489" t="str">
        <f>IFERROR(VLOOKUP($Q33,FeeLookup!$J$5:$L$33,3,FALSE),"")</f>
        <v/>
      </c>
      <c r="L33" s="413" t="s">
        <v>29</v>
      </c>
      <c r="M33" s="414">
        <v>12</v>
      </c>
      <c r="N33" s="5">
        <f t="shared" si="4"/>
        <v>0</v>
      </c>
      <c r="O33" s="12" t="str">
        <f t="shared" si="5"/>
        <v>TEF</v>
      </c>
      <c r="P33" s="12" t="str">
        <f t="shared" si="6"/>
        <v/>
      </c>
      <c r="Q33" s="13" t="str">
        <f t="shared" si="7"/>
        <v>_TEF_</v>
      </c>
      <c r="R33" s="13" t="str">
        <f t="shared" si="8"/>
        <v/>
      </c>
      <c r="S33" s="12" t="str">
        <f t="shared" si="9"/>
        <v/>
      </c>
      <c r="T33" s="12" t="str">
        <f t="shared" si="0"/>
        <v/>
      </c>
      <c r="U33" s="12" t="str">
        <f t="shared" si="1"/>
        <v>NO</v>
      </c>
      <c r="V33" s="14" t="str">
        <f t="shared" si="10"/>
        <v/>
      </c>
      <c r="W33" s="14" t="str">
        <f t="shared" si="11"/>
        <v/>
      </c>
      <c r="X33" s="14" t="str">
        <f t="shared" si="12"/>
        <v/>
      </c>
      <c r="Y33" s="15" t="str">
        <f t="shared" si="2"/>
        <v/>
      </c>
      <c r="Z33" s="342">
        <f t="shared" si="13"/>
        <v>0</v>
      </c>
      <c r="AA33" s="342">
        <f t="shared" si="3"/>
        <v>0</v>
      </c>
      <c r="AB33" s="342">
        <f t="shared" si="3"/>
        <v>0</v>
      </c>
      <c r="AC33" s="342">
        <f t="shared" si="3"/>
        <v>0</v>
      </c>
    </row>
    <row r="34" spans="1:29" ht="12.75" customHeight="1" x14ac:dyDescent="0.2">
      <c r="A34" s="71">
        <v>13</v>
      </c>
      <c r="B34" s="17"/>
      <c r="C34" s="17"/>
      <c r="D34" s="487"/>
      <c r="E34" s="487"/>
      <c r="F34" s="487"/>
      <c r="G34" s="487"/>
      <c r="H34" s="17"/>
      <c r="I34" s="492"/>
      <c r="J34" s="489" t="str">
        <f>IFERROR(VLOOKUP($Q34,FeeLookup!$J$5:$L$33,2,FALSE),"")</f>
        <v/>
      </c>
      <c r="K34" s="489" t="str">
        <f>IFERROR(VLOOKUP($Q34,FeeLookup!$J$5:$L$33,3,FALSE),"")</f>
        <v/>
      </c>
      <c r="L34" s="413" t="s">
        <v>29</v>
      </c>
      <c r="M34" s="414">
        <v>13</v>
      </c>
      <c r="N34" s="5">
        <f t="shared" si="4"/>
        <v>0</v>
      </c>
      <c r="O34" s="12" t="str">
        <f t="shared" si="5"/>
        <v>TEF</v>
      </c>
      <c r="P34" s="12" t="str">
        <f t="shared" si="6"/>
        <v/>
      </c>
      <c r="Q34" s="13" t="str">
        <f t="shared" si="7"/>
        <v>_TEF_</v>
      </c>
      <c r="R34" s="13" t="str">
        <f t="shared" si="8"/>
        <v/>
      </c>
      <c r="S34" s="12" t="str">
        <f t="shared" si="9"/>
        <v/>
      </c>
      <c r="T34" s="12" t="str">
        <f t="shared" si="0"/>
        <v/>
      </c>
      <c r="U34" s="12" t="str">
        <f t="shared" si="1"/>
        <v>NO</v>
      </c>
      <c r="V34" s="14" t="str">
        <f t="shared" si="10"/>
        <v/>
      </c>
      <c r="W34" s="14" t="str">
        <f t="shared" si="11"/>
        <v/>
      </c>
      <c r="X34" s="14" t="str">
        <f t="shared" si="12"/>
        <v/>
      </c>
      <c r="Y34" s="15" t="str">
        <f t="shared" si="2"/>
        <v/>
      </c>
      <c r="Z34" s="342">
        <f t="shared" si="13"/>
        <v>0</v>
      </c>
      <c r="AA34" s="342">
        <f t="shared" si="3"/>
        <v>0</v>
      </c>
      <c r="AB34" s="342">
        <f t="shared" si="3"/>
        <v>0</v>
      </c>
      <c r="AC34" s="342">
        <f t="shared" si="3"/>
        <v>0</v>
      </c>
    </row>
    <row r="35" spans="1:29" ht="12.75" customHeight="1" x14ac:dyDescent="0.2">
      <c r="A35" s="71">
        <v>14</v>
      </c>
      <c r="B35" s="17"/>
      <c r="C35" s="17"/>
      <c r="D35" s="487"/>
      <c r="E35" s="487"/>
      <c r="F35" s="487"/>
      <c r="G35" s="487"/>
      <c r="H35" s="17"/>
      <c r="I35" s="492"/>
      <c r="J35" s="489" t="str">
        <f>IFERROR(VLOOKUP($Q35,FeeLookup!$J$5:$L$33,2,FALSE),"")</f>
        <v/>
      </c>
      <c r="K35" s="489" t="str">
        <f>IFERROR(VLOOKUP($Q35,FeeLookup!$J$5:$L$33,3,FALSE),"")</f>
        <v/>
      </c>
      <c r="L35" s="413" t="s">
        <v>29</v>
      </c>
      <c r="M35" s="414">
        <v>14</v>
      </c>
      <c r="N35" s="5">
        <f t="shared" si="4"/>
        <v>0</v>
      </c>
      <c r="O35" s="12" t="str">
        <f t="shared" si="5"/>
        <v>TEF</v>
      </c>
      <c r="P35" s="12" t="str">
        <f t="shared" si="6"/>
        <v/>
      </c>
      <c r="Q35" s="13" t="str">
        <f t="shared" si="7"/>
        <v>_TEF_</v>
      </c>
      <c r="R35" s="13" t="str">
        <f t="shared" si="8"/>
        <v/>
      </c>
      <c r="S35" s="12" t="str">
        <f t="shared" si="9"/>
        <v/>
      </c>
      <c r="T35" s="12" t="str">
        <f t="shared" si="0"/>
        <v/>
      </c>
      <c r="U35" s="12" t="str">
        <f t="shared" si="1"/>
        <v>NO</v>
      </c>
      <c r="V35" s="14" t="str">
        <f t="shared" si="10"/>
        <v/>
      </c>
      <c r="W35" s="14" t="str">
        <f t="shared" si="11"/>
        <v/>
      </c>
      <c r="X35" s="14" t="str">
        <f t="shared" si="12"/>
        <v/>
      </c>
      <c r="Y35" s="15" t="str">
        <f t="shared" si="2"/>
        <v/>
      </c>
      <c r="Z35" s="342">
        <f t="shared" si="13"/>
        <v>0</v>
      </c>
      <c r="AA35" s="342">
        <f t="shared" si="3"/>
        <v>0</v>
      </c>
      <c r="AB35" s="342">
        <f t="shared" si="3"/>
        <v>0</v>
      </c>
      <c r="AC35" s="342">
        <f t="shared" si="3"/>
        <v>0</v>
      </c>
    </row>
    <row r="36" spans="1:29" ht="12.75" customHeight="1" x14ac:dyDescent="0.2">
      <c r="A36" s="71">
        <v>15</v>
      </c>
      <c r="B36" s="17"/>
      <c r="C36" s="17"/>
      <c r="D36" s="487"/>
      <c r="E36" s="487"/>
      <c r="F36" s="487"/>
      <c r="G36" s="487"/>
      <c r="H36" s="17"/>
      <c r="I36" s="492"/>
      <c r="J36" s="489" t="str">
        <f>IFERROR(VLOOKUP($Q36,FeeLookup!$J$5:$L$33,2,FALSE),"")</f>
        <v/>
      </c>
      <c r="K36" s="489" t="str">
        <f>IFERROR(VLOOKUP($Q36,FeeLookup!$J$5:$L$33,3,FALSE),"")</f>
        <v/>
      </c>
      <c r="L36" s="413" t="s">
        <v>29</v>
      </c>
      <c r="M36" s="414">
        <v>15</v>
      </c>
      <c r="N36" s="5">
        <f t="shared" si="4"/>
        <v>0</v>
      </c>
      <c r="O36" s="12" t="str">
        <f t="shared" si="5"/>
        <v>TEF</v>
      </c>
      <c r="P36" s="12" t="str">
        <f t="shared" si="6"/>
        <v/>
      </c>
      <c r="Q36" s="13" t="str">
        <f t="shared" si="7"/>
        <v>_TEF_</v>
      </c>
      <c r="R36" s="13" t="str">
        <f t="shared" si="8"/>
        <v/>
      </c>
      <c r="S36" s="12" t="str">
        <f t="shared" si="9"/>
        <v/>
      </c>
      <c r="T36" s="12" t="str">
        <f t="shared" si="0"/>
        <v/>
      </c>
      <c r="U36" s="12" t="str">
        <f t="shared" si="1"/>
        <v>NO</v>
      </c>
      <c r="V36" s="14" t="str">
        <f t="shared" si="10"/>
        <v/>
      </c>
      <c r="W36" s="14" t="str">
        <f t="shared" si="11"/>
        <v/>
      </c>
      <c r="X36" s="14" t="str">
        <f t="shared" si="12"/>
        <v/>
      </c>
      <c r="Y36" s="15" t="str">
        <f t="shared" si="2"/>
        <v/>
      </c>
      <c r="Z36" s="342">
        <f t="shared" si="13"/>
        <v>0</v>
      </c>
      <c r="AA36" s="342">
        <f t="shared" si="3"/>
        <v>0</v>
      </c>
      <c r="AB36" s="342">
        <f t="shared" si="3"/>
        <v>0</v>
      </c>
      <c r="AC36" s="342">
        <f t="shared" si="3"/>
        <v>0</v>
      </c>
    </row>
    <row r="37" spans="1:29" ht="12.75" customHeight="1" x14ac:dyDescent="0.2">
      <c r="A37" s="71">
        <v>16</v>
      </c>
      <c r="B37" s="17"/>
      <c r="C37" s="17"/>
      <c r="D37" s="487"/>
      <c r="E37" s="487"/>
      <c r="F37" s="487"/>
      <c r="G37" s="487"/>
      <c r="H37" s="17"/>
      <c r="I37" s="492"/>
      <c r="J37" s="489" t="str">
        <f>IFERROR(VLOOKUP($Q37,FeeLookup!$J$5:$L$33,2,FALSE),"")</f>
        <v/>
      </c>
      <c r="K37" s="489" t="str">
        <f>IFERROR(VLOOKUP($Q37,FeeLookup!$J$5:$L$33,3,FALSE),"")</f>
        <v/>
      </c>
      <c r="L37" s="413" t="s">
        <v>29</v>
      </c>
      <c r="M37" s="414">
        <v>16</v>
      </c>
      <c r="N37" s="5">
        <f t="shared" si="4"/>
        <v>0</v>
      </c>
      <c r="O37" s="12" t="str">
        <f t="shared" si="5"/>
        <v>TEF</v>
      </c>
      <c r="P37" s="12" t="str">
        <f t="shared" si="6"/>
        <v/>
      </c>
      <c r="Q37" s="13" t="str">
        <f t="shared" si="7"/>
        <v>_TEF_</v>
      </c>
      <c r="R37" s="13" t="str">
        <f t="shared" si="8"/>
        <v/>
      </c>
      <c r="S37" s="12" t="str">
        <f t="shared" si="9"/>
        <v/>
      </c>
      <c r="T37" s="12" t="str">
        <f t="shared" si="0"/>
        <v/>
      </c>
      <c r="U37" s="12" t="str">
        <f t="shared" si="1"/>
        <v>NO</v>
      </c>
      <c r="V37" s="14" t="str">
        <f t="shared" si="10"/>
        <v/>
      </c>
      <c r="W37" s="14" t="str">
        <f t="shared" si="11"/>
        <v/>
      </c>
      <c r="X37" s="14" t="str">
        <f t="shared" si="12"/>
        <v/>
      </c>
      <c r="Y37" s="15" t="str">
        <f t="shared" si="2"/>
        <v/>
      </c>
      <c r="Z37" s="342">
        <f t="shared" si="13"/>
        <v>0</v>
      </c>
      <c r="AA37" s="342">
        <f t="shared" si="3"/>
        <v>0</v>
      </c>
      <c r="AB37" s="342">
        <f t="shared" si="3"/>
        <v>0</v>
      </c>
      <c r="AC37" s="342">
        <f t="shared" si="3"/>
        <v>0</v>
      </c>
    </row>
    <row r="38" spans="1:29" ht="12.75" customHeight="1" x14ac:dyDescent="0.2">
      <c r="A38" s="71">
        <v>17</v>
      </c>
      <c r="B38" s="17"/>
      <c r="C38" s="17"/>
      <c r="D38" s="487"/>
      <c r="E38" s="487"/>
      <c r="F38" s="487"/>
      <c r="G38" s="487"/>
      <c r="H38" s="17"/>
      <c r="I38" s="492"/>
      <c r="J38" s="489" t="str">
        <f>IFERROR(VLOOKUP($Q38,FeeLookup!$J$5:$L$33,2,FALSE),"")</f>
        <v/>
      </c>
      <c r="K38" s="489" t="str">
        <f>IFERROR(VLOOKUP($Q38,FeeLookup!$J$5:$L$33,3,FALSE),"")</f>
        <v/>
      </c>
      <c r="L38" s="413" t="s">
        <v>29</v>
      </c>
      <c r="M38" s="414">
        <v>17</v>
      </c>
      <c r="N38" s="5">
        <f t="shared" si="4"/>
        <v>0</v>
      </c>
      <c r="O38" s="12" t="str">
        <f t="shared" si="5"/>
        <v>TEF</v>
      </c>
      <c r="P38" s="12" t="str">
        <f t="shared" si="6"/>
        <v/>
      </c>
      <c r="Q38" s="13" t="str">
        <f t="shared" si="7"/>
        <v>_TEF_</v>
      </c>
      <c r="R38" s="13" t="str">
        <f t="shared" si="8"/>
        <v/>
      </c>
      <c r="S38" s="12" t="str">
        <f t="shared" si="9"/>
        <v/>
      </c>
      <c r="T38" s="12" t="str">
        <f t="shared" si="0"/>
        <v/>
      </c>
      <c r="U38" s="12" t="str">
        <f t="shared" si="1"/>
        <v>NO</v>
      </c>
      <c r="V38" s="14" t="str">
        <f t="shared" si="10"/>
        <v/>
      </c>
      <c r="W38" s="14" t="str">
        <f t="shared" si="11"/>
        <v/>
      </c>
      <c r="X38" s="14" t="str">
        <f t="shared" si="12"/>
        <v/>
      </c>
      <c r="Y38" s="15" t="str">
        <f t="shared" si="2"/>
        <v/>
      </c>
      <c r="Z38" s="342">
        <f t="shared" si="13"/>
        <v>0</v>
      </c>
      <c r="AA38" s="342">
        <f t="shared" ref="AA38:AA101" si="14">IF(IF(ISERROR($I38-$J38)=TRUE,0,$I38-$J38)&gt;0,E38,0)</f>
        <v>0</v>
      </c>
      <c r="AB38" s="342">
        <f t="shared" ref="AB38:AB101" si="15">IF(IF(ISERROR($I38-$J38)=TRUE,0,$I38-$J38)&gt;0,F38,0)</f>
        <v>0</v>
      </c>
      <c r="AC38" s="342">
        <f t="shared" ref="AC38:AC101" si="16">IF(IF(ISERROR($I38-$J38)=TRUE,0,$I38-$J38)&gt;0,G38,0)</f>
        <v>0</v>
      </c>
    </row>
    <row r="39" spans="1:29" ht="12.75" customHeight="1" x14ac:dyDescent="0.2">
      <c r="A39" s="71">
        <v>18</v>
      </c>
      <c r="B39" s="17"/>
      <c r="C39" s="17"/>
      <c r="D39" s="487"/>
      <c r="E39" s="487"/>
      <c r="F39" s="487"/>
      <c r="G39" s="487"/>
      <c r="H39" s="17"/>
      <c r="I39" s="492"/>
      <c r="J39" s="489" t="str">
        <f>IFERROR(VLOOKUP($Q39,FeeLookup!$J$5:$L$33,2,FALSE),"")</f>
        <v/>
      </c>
      <c r="K39" s="489" t="str">
        <f>IFERROR(VLOOKUP($Q39,FeeLookup!$J$5:$L$33,3,FALSE),"")</f>
        <v/>
      </c>
      <c r="L39" s="413" t="s">
        <v>29</v>
      </c>
      <c r="M39" s="414">
        <v>18</v>
      </c>
      <c r="N39" s="5">
        <f t="shared" si="4"/>
        <v>0</v>
      </c>
      <c r="O39" s="12" t="str">
        <f t="shared" si="5"/>
        <v>TEF</v>
      </c>
      <c r="P39" s="12" t="str">
        <f t="shared" si="6"/>
        <v/>
      </c>
      <c r="Q39" s="13" t="str">
        <f t="shared" si="7"/>
        <v>_TEF_</v>
      </c>
      <c r="R39" s="13" t="str">
        <f t="shared" si="8"/>
        <v/>
      </c>
      <c r="S39" s="12" t="str">
        <f t="shared" si="9"/>
        <v/>
      </c>
      <c r="T39" s="12" t="str">
        <f t="shared" si="0"/>
        <v/>
      </c>
      <c r="U39" s="12" t="str">
        <f t="shared" si="1"/>
        <v>NO</v>
      </c>
      <c r="V39" s="14" t="str">
        <f t="shared" si="10"/>
        <v/>
      </c>
      <c r="W39" s="14" t="str">
        <f t="shared" si="11"/>
        <v/>
      </c>
      <c r="X39" s="14" t="str">
        <f t="shared" si="12"/>
        <v/>
      </c>
      <c r="Y39" s="15" t="str">
        <f t="shared" si="2"/>
        <v/>
      </c>
      <c r="Z39" s="342">
        <f t="shared" si="13"/>
        <v>0</v>
      </c>
      <c r="AA39" s="342">
        <f t="shared" si="14"/>
        <v>0</v>
      </c>
      <c r="AB39" s="342">
        <f t="shared" si="15"/>
        <v>0</v>
      </c>
      <c r="AC39" s="342">
        <f t="shared" si="16"/>
        <v>0</v>
      </c>
    </row>
    <row r="40" spans="1:29" ht="12.75" customHeight="1" x14ac:dyDescent="0.2">
      <c r="A40" s="71">
        <v>19</v>
      </c>
      <c r="B40" s="17"/>
      <c r="C40" s="17"/>
      <c r="D40" s="487"/>
      <c r="E40" s="487"/>
      <c r="F40" s="487"/>
      <c r="G40" s="487"/>
      <c r="H40" s="17"/>
      <c r="I40" s="492"/>
      <c r="J40" s="489" t="str">
        <f>IFERROR(VLOOKUP($Q40,FeeLookup!$J$5:$L$33,2,FALSE),"")</f>
        <v/>
      </c>
      <c r="K40" s="489" t="str">
        <f>IFERROR(VLOOKUP($Q40,FeeLookup!$J$5:$L$33,3,FALSE),"")</f>
        <v/>
      </c>
      <c r="L40" s="413" t="s">
        <v>29</v>
      </c>
      <c r="M40" s="414">
        <v>19</v>
      </c>
      <c r="N40" s="5">
        <f t="shared" si="4"/>
        <v>0</v>
      </c>
      <c r="O40" s="12" t="str">
        <f t="shared" si="5"/>
        <v>TEF</v>
      </c>
      <c r="P40" s="12" t="str">
        <f t="shared" si="6"/>
        <v/>
      </c>
      <c r="Q40" s="13" t="str">
        <f t="shared" si="7"/>
        <v>_TEF_</v>
      </c>
      <c r="R40" s="13" t="str">
        <f t="shared" si="8"/>
        <v/>
      </c>
      <c r="S40" s="12" t="str">
        <f t="shared" si="9"/>
        <v/>
      </c>
      <c r="T40" s="12" t="str">
        <f t="shared" si="0"/>
        <v/>
      </c>
      <c r="U40" s="12" t="str">
        <f t="shared" si="1"/>
        <v>NO</v>
      </c>
      <c r="V40" s="14" t="str">
        <f t="shared" si="10"/>
        <v/>
      </c>
      <c r="W40" s="14" t="str">
        <f t="shared" si="11"/>
        <v/>
      </c>
      <c r="X40" s="14" t="str">
        <f t="shared" si="12"/>
        <v/>
      </c>
      <c r="Y40" s="15" t="str">
        <f t="shared" si="2"/>
        <v/>
      </c>
      <c r="Z40" s="342">
        <f t="shared" si="13"/>
        <v>0</v>
      </c>
      <c r="AA40" s="342">
        <f t="shared" si="14"/>
        <v>0</v>
      </c>
      <c r="AB40" s="342">
        <f t="shared" si="15"/>
        <v>0</v>
      </c>
      <c r="AC40" s="342">
        <f t="shared" si="16"/>
        <v>0</v>
      </c>
    </row>
    <row r="41" spans="1:29" ht="12.75" customHeight="1" x14ac:dyDescent="0.2">
      <c r="A41" s="71">
        <v>20</v>
      </c>
      <c r="B41" s="17"/>
      <c r="C41" s="17"/>
      <c r="D41" s="487"/>
      <c r="E41" s="487"/>
      <c r="F41" s="487"/>
      <c r="G41" s="487"/>
      <c r="H41" s="17"/>
      <c r="I41" s="492"/>
      <c r="J41" s="489" t="str">
        <f>IFERROR(VLOOKUP($Q41,FeeLookup!$J$5:$L$33,2,FALSE),"")</f>
        <v/>
      </c>
      <c r="K41" s="489" t="str">
        <f>IFERROR(VLOOKUP($Q41,FeeLookup!$J$5:$L$33,3,FALSE),"")</f>
        <v/>
      </c>
      <c r="L41" s="413" t="s">
        <v>29</v>
      </c>
      <c r="M41" s="414">
        <v>20</v>
      </c>
      <c r="N41" s="5">
        <f t="shared" si="4"/>
        <v>0</v>
      </c>
      <c r="O41" s="12" t="str">
        <f t="shared" si="5"/>
        <v>TEF</v>
      </c>
      <c r="P41" s="12" t="str">
        <f t="shared" si="6"/>
        <v/>
      </c>
      <c r="Q41" s="13" t="str">
        <f t="shared" si="7"/>
        <v>_TEF_</v>
      </c>
      <c r="R41" s="13" t="str">
        <f t="shared" si="8"/>
        <v/>
      </c>
      <c r="S41" s="12" t="str">
        <f t="shared" si="9"/>
        <v/>
      </c>
      <c r="T41" s="12" t="str">
        <f t="shared" si="0"/>
        <v/>
      </c>
      <c r="U41" s="12" t="str">
        <f t="shared" si="1"/>
        <v>NO</v>
      </c>
      <c r="V41" s="14" t="str">
        <f t="shared" si="10"/>
        <v/>
      </c>
      <c r="W41" s="14" t="str">
        <f t="shared" si="11"/>
        <v/>
      </c>
      <c r="X41" s="14" t="str">
        <f t="shared" si="12"/>
        <v/>
      </c>
      <c r="Y41" s="15" t="str">
        <f t="shared" si="2"/>
        <v/>
      </c>
      <c r="Z41" s="342">
        <f t="shared" si="13"/>
        <v>0</v>
      </c>
      <c r="AA41" s="342">
        <f t="shared" si="14"/>
        <v>0</v>
      </c>
      <c r="AB41" s="342">
        <f t="shared" si="15"/>
        <v>0</v>
      </c>
      <c r="AC41" s="342">
        <f t="shared" si="16"/>
        <v>0</v>
      </c>
    </row>
    <row r="42" spans="1:29" ht="12.75" customHeight="1" x14ac:dyDescent="0.2">
      <c r="A42" s="71">
        <v>21</v>
      </c>
      <c r="B42" s="17"/>
      <c r="C42" s="17"/>
      <c r="D42" s="487"/>
      <c r="E42" s="487"/>
      <c r="F42" s="487"/>
      <c r="G42" s="487"/>
      <c r="H42" s="17"/>
      <c r="I42" s="492"/>
      <c r="J42" s="489" t="str">
        <f>IFERROR(VLOOKUP($Q42,FeeLookup!$J$5:$L$33,2,FALSE),"")</f>
        <v/>
      </c>
      <c r="K42" s="489" t="str">
        <f>IFERROR(VLOOKUP($Q42,FeeLookup!$J$5:$L$33,3,FALSE),"")</f>
        <v/>
      </c>
      <c r="L42" s="413" t="s">
        <v>29</v>
      </c>
      <c r="M42" s="414">
        <v>21</v>
      </c>
      <c r="N42" s="5">
        <f t="shared" si="4"/>
        <v>0</v>
      </c>
      <c r="O42" s="12" t="str">
        <f t="shared" si="5"/>
        <v>TEF</v>
      </c>
      <c r="P42" s="12" t="str">
        <f t="shared" si="6"/>
        <v/>
      </c>
      <c r="Q42" s="13" t="str">
        <f t="shared" si="7"/>
        <v>_TEF_</v>
      </c>
      <c r="R42" s="13" t="str">
        <f t="shared" si="8"/>
        <v/>
      </c>
      <c r="S42" s="12" t="str">
        <f t="shared" si="9"/>
        <v/>
      </c>
      <c r="T42" s="12" t="str">
        <f t="shared" si="0"/>
        <v/>
      </c>
      <c r="U42" s="12" t="str">
        <f t="shared" si="1"/>
        <v>NO</v>
      </c>
      <c r="V42" s="14" t="str">
        <f t="shared" si="10"/>
        <v/>
      </c>
      <c r="W42" s="14" t="str">
        <f t="shared" si="11"/>
        <v/>
      </c>
      <c r="X42" s="14" t="str">
        <f t="shared" si="12"/>
        <v/>
      </c>
      <c r="Y42" s="15" t="str">
        <f t="shared" si="2"/>
        <v/>
      </c>
      <c r="Z42" s="342">
        <f t="shared" si="13"/>
        <v>0</v>
      </c>
      <c r="AA42" s="342">
        <f t="shared" si="14"/>
        <v>0</v>
      </c>
      <c r="AB42" s="342">
        <f t="shared" si="15"/>
        <v>0</v>
      </c>
      <c r="AC42" s="342">
        <f t="shared" si="16"/>
        <v>0</v>
      </c>
    </row>
    <row r="43" spans="1:29" ht="12.75" customHeight="1" x14ac:dyDescent="0.2">
      <c r="A43" s="71">
        <v>22</v>
      </c>
      <c r="B43" s="17"/>
      <c r="C43" s="17"/>
      <c r="D43" s="487"/>
      <c r="E43" s="487"/>
      <c r="F43" s="487"/>
      <c r="G43" s="487"/>
      <c r="H43" s="17"/>
      <c r="I43" s="492"/>
      <c r="J43" s="489" t="str">
        <f>IFERROR(VLOOKUP($Q43,FeeLookup!$J$5:$L$33,2,FALSE),"")</f>
        <v/>
      </c>
      <c r="K43" s="489" t="str">
        <f>IFERROR(VLOOKUP($Q43,FeeLookup!$J$5:$L$33,3,FALSE),"")</f>
        <v/>
      </c>
      <c r="L43" s="413" t="s">
        <v>29</v>
      </c>
      <c r="M43" s="414">
        <v>22</v>
      </c>
      <c r="N43" s="5">
        <f t="shared" si="4"/>
        <v>0</v>
      </c>
      <c r="O43" s="12" t="str">
        <f t="shared" si="5"/>
        <v>TEF</v>
      </c>
      <c r="P43" s="12" t="str">
        <f t="shared" si="6"/>
        <v/>
      </c>
      <c r="Q43" s="13" t="str">
        <f t="shared" si="7"/>
        <v>_TEF_</v>
      </c>
      <c r="R43" s="13" t="str">
        <f t="shared" si="8"/>
        <v/>
      </c>
      <c r="S43" s="12" t="str">
        <f t="shared" si="9"/>
        <v/>
      </c>
      <c r="T43" s="12" t="str">
        <f t="shared" si="0"/>
        <v/>
      </c>
      <c r="U43" s="12" t="str">
        <f t="shared" si="1"/>
        <v>NO</v>
      </c>
      <c r="V43" s="14" t="str">
        <f t="shared" si="10"/>
        <v/>
      </c>
      <c r="W43" s="14" t="str">
        <f t="shared" si="11"/>
        <v/>
      </c>
      <c r="X43" s="14" t="str">
        <f t="shared" si="12"/>
        <v/>
      </c>
      <c r="Y43" s="15" t="str">
        <f t="shared" si="2"/>
        <v/>
      </c>
      <c r="Z43" s="342">
        <f t="shared" si="13"/>
        <v>0</v>
      </c>
      <c r="AA43" s="342">
        <f t="shared" si="14"/>
        <v>0</v>
      </c>
      <c r="AB43" s="342">
        <f t="shared" si="15"/>
        <v>0</v>
      </c>
      <c r="AC43" s="342">
        <f t="shared" si="16"/>
        <v>0</v>
      </c>
    </row>
    <row r="44" spans="1:29" ht="12.75" customHeight="1" x14ac:dyDescent="0.2">
      <c r="A44" s="71">
        <v>23</v>
      </c>
      <c r="B44" s="17"/>
      <c r="C44" s="17"/>
      <c r="D44" s="487"/>
      <c r="E44" s="487"/>
      <c r="F44" s="487"/>
      <c r="G44" s="487"/>
      <c r="H44" s="17"/>
      <c r="I44" s="492"/>
      <c r="J44" s="489" t="str">
        <f>IFERROR(VLOOKUP($Q44,FeeLookup!$J$5:$L$33,2,FALSE),"")</f>
        <v/>
      </c>
      <c r="K44" s="489" t="str">
        <f>IFERROR(VLOOKUP($Q44,FeeLookup!$J$5:$L$33,3,FALSE),"")</f>
        <v/>
      </c>
      <c r="L44" s="413" t="s">
        <v>29</v>
      </c>
      <c r="M44" s="414">
        <v>23</v>
      </c>
      <c r="N44" s="5">
        <f t="shared" si="4"/>
        <v>0</v>
      </c>
      <c r="O44" s="12" t="str">
        <f t="shared" si="5"/>
        <v>TEF</v>
      </c>
      <c r="P44" s="12" t="str">
        <f t="shared" si="6"/>
        <v/>
      </c>
      <c r="Q44" s="13" t="str">
        <f t="shared" si="7"/>
        <v>_TEF_</v>
      </c>
      <c r="R44" s="13" t="str">
        <f t="shared" si="8"/>
        <v/>
      </c>
      <c r="S44" s="12" t="str">
        <f t="shared" si="9"/>
        <v/>
      </c>
      <c r="T44" s="12" t="str">
        <f t="shared" si="0"/>
        <v/>
      </c>
      <c r="U44" s="12" t="str">
        <f t="shared" si="1"/>
        <v>NO</v>
      </c>
      <c r="V44" s="14" t="str">
        <f t="shared" si="10"/>
        <v/>
      </c>
      <c r="W44" s="14" t="str">
        <f t="shared" si="11"/>
        <v/>
      </c>
      <c r="X44" s="14" t="str">
        <f t="shared" si="12"/>
        <v/>
      </c>
      <c r="Y44" s="15" t="str">
        <f t="shared" si="2"/>
        <v/>
      </c>
      <c r="Z44" s="342">
        <f t="shared" si="13"/>
        <v>0</v>
      </c>
      <c r="AA44" s="342">
        <f t="shared" si="14"/>
        <v>0</v>
      </c>
      <c r="AB44" s="342">
        <f t="shared" si="15"/>
        <v>0</v>
      </c>
      <c r="AC44" s="342">
        <f t="shared" si="16"/>
        <v>0</v>
      </c>
    </row>
    <row r="45" spans="1:29" ht="12.75" customHeight="1" x14ac:dyDescent="0.2">
      <c r="A45" s="71">
        <v>24</v>
      </c>
      <c r="B45" s="17"/>
      <c r="C45" s="17"/>
      <c r="D45" s="487"/>
      <c r="E45" s="487"/>
      <c r="F45" s="487"/>
      <c r="G45" s="487"/>
      <c r="H45" s="17"/>
      <c r="I45" s="492"/>
      <c r="J45" s="489" t="str">
        <f>IFERROR(VLOOKUP($Q45,FeeLookup!$J$5:$L$33,2,FALSE),"")</f>
        <v/>
      </c>
      <c r="K45" s="489" t="str">
        <f>IFERROR(VLOOKUP($Q45,FeeLookup!$J$5:$L$33,3,FALSE),"")</f>
        <v/>
      </c>
      <c r="L45" s="413" t="s">
        <v>29</v>
      </c>
      <c r="M45" s="414">
        <v>24</v>
      </c>
      <c r="N45" s="5">
        <f t="shared" si="4"/>
        <v>0</v>
      </c>
      <c r="O45" s="12" t="str">
        <f t="shared" si="5"/>
        <v>TEF</v>
      </c>
      <c r="P45" s="12" t="str">
        <f t="shared" si="6"/>
        <v/>
      </c>
      <c r="Q45" s="13" t="str">
        <f t="shared" si="7"/>
        <v>_TEF_</v>
      </c>
      <c r="R45" s="13" t="str">
        <f t="shared" si="8"/>
        <v/>
      </c>
      <c r="S45" s="12" t="str">
        <f t="shared" si="9"/>
        <v/>
      </c>
      <c r="T45" s="12" t="str">
        <f t="shared" si="0"/>
        <v/>
      </c>
      <c r="U45" s="12" t="str">
        <f t="shared" si="1"/>
        <v>NO</v>
      </c>
      <c r="V45" s="14" t="str">
        <f t="shared" si="10"/>
        <v/>
      </c>
      <c r="W45" s="14" t="str">
        <f t="shared" si="11"/>
        <v/>
      </c>
      <c r="X45" s="14" t="str">
        <f t="shared" si="12"/>
        <v/>
      </c>
      <c r="Y45" s="15" t="str">
        <f t="shared" si="2"/>
        <v/>
      </c>
      <c r="Z45" s="342">
        <f t="shared" si="13"/>
        <v>0</v>
      </c>
      <c r="AA45" s="342">
        <f t="shared" si="14"/>
        <v>0</v>
      </c>
      <c r="AB45" s="342">
        <f t="shared" si="15"/>
        <v>0</v>
      </c>
      <c r="AC45" s="342">
        <f t="shared" si="16"/>
        <v>0</v>
      </c>
    </row>
    <row r="46" spans="1:29" ht="12.75" customHeight="1" x14ac:dyDescent="0.2">
      <c r="A46" s="71">
        <v>25</v>
      </c>
      <c r="B46" s="17"/>
      <c r="C46" s="17"/>
      <c r="D46" s="487"/>
      <c r="E46" s="487"/>
      <c r="F46" s="487"/>
      <c r="G46" s="487"/>
      <c r="H46" s="17"/>
      <c r="I46" s="492"/>
      <c r="J46" s="489" t="str">
        <f>IFERROR(VLOOKUP($Q46,FeeLookup!$J$5:$L$33,2,FALSE),"")</f>
        <v/>
      </c>
      <c r="K46" s="489" t="str">
        <f>IFERROR(VLOOKUP($Q46,FeeLookup!$J$5:$L$33,3,FALSE),"")</f>
        <v/>
      </c>
      <c r="L46" s="413" t="s">
        <v>29</v>
      </c>
      <c r="M46" s="414">
        <v>25</v>
      </c>
      <c r="N46" s="5">
        <f t="shared" si="4"/>
        <v>0</v>
      </c>
      <c r="O46" s="12" t="str">
        <f t="shared" si="5"/>
        <v>TEF</v>
      </c>
      <c r="P46" s="12" t="str">
        <f t="shared" si="6"/>
        <v/>
      </c>
      <c r="Q46" s="13" t="str">
        <f t="shared" si="7"/>
        <v>_TEF_</v>
      </c>
      <c r="R46" s="13" t="str">
        <f t="shared" si="8"/>
        <v/>
      </c>
      <c r="S46" s="12" t="str">
        <f t="shared" si="9"/>
        <v/>
      </c>
      <c r="T46" s="12" t="str">
        <f t="shared" si="0"/>
        <v/>
      </c>
      <c r="U46" s="12" t="str">
        <f t="shared" si="1"/>
        <v>NO</v>
      </c>
      <c r="V46" s="14" t="str">
        <f t="shared" si="10"/>
        <v/>
      </c>
      <c r="W46" s="14" t="str">
        <f t="shared" si="11"/>
        <v/>
      </c>
      <c r="X46" s="14" t="str">
        <f t="shared" si="12"/>
        <v/>
      </c>
      <c r="Y46" s="15" t="str">
        <f t="shared" si="2"/>
        <v/>
      </c>
      <c r="Z46" s="342">
        <f t="shared" si="13"/>
        <v>0</v>
      </c>
      <c r="AA46" s="342">
        <f t="shared" si="14"/>
        <v>0</v>
      </c>
      <c r="AB46" s="342">
        <f t="shared" si="15"/>
        <v>0</v>
      </c>
      <c r="AC46" s="342">
        <f t="shared" si="16"/>
        <v>0</v>
      </c>
    </row>
    <row r="47" spans="1:29" ht="12.75" customHeight="1" x14ac:dyDescent="0.2">
      <c r="A47" s="71">
        <v>26</v>
      </c>
      <c r="B47" s="17"/>
      <c r="C47" s="17"/>
      <c r="D47" s="487"/>
      <c r="E47" s="487"/>
      <c r="F47" s="487"/>
      <c r="G47" s="487"/>
      <c r="H47" s="17"/>
      <c r="I47" s="492"/>
      <c r="J47" s="489" t="str">
        <f>IFERROR(VLOOKUP($Q47,FeeLookup!$J$5:$L$33,2,FALSE),"")</f>
        <v/>
      </c>
      <c r="K47" s="489" t="str">
        <f>IFERROR(VLOOKUP($Q47,FeeLookup!$J$5:$L$33,3,FALSE),"")</f>
        <v/>
      </c>
      <c r="L47" s="413" t="s">
        <v>29</v>
      </c>
      <c r="M47" s="414">
        <v>26</v>
      </c>
      <c r="N47" s="5">
        <f t="shared" si="4"/>
        <v>0</v>
      </c>
      <c r="O47" s="12" t="str">
        <f t="shared" si="5"/>
        <v>TEF</v>
      </c>
      <c r="P47" s="12" t="str">
        <f t="shared" si="6"/>
        <v/>
      </c>
      <c r="Q47" s="13" t="str">
        <f t="shared" si="7"/>
        <v>_TEF_</v>
      </c>
      <c r="R47" s="13" t="str">
        <f t="shared" si="8"/>
        <v/>
      </c>
      <c r="S47" s="12" t="str">
        <f t="shared" si="9"/>
        <v/>
      </c>
      <c r="T47" s="12" t="str">
        <f t="shared" si="0"/>
        <v/>
      </c>
      <c r="U47" s="12" t="str">
        <f t="shared" si="1"/>
        <v>NO</v>
      </c>
      <c r="V47" s="14" t="str">
        <f t="shared" si="10"/>
        <v/>
      </c>
      <c r="W47" s="14" t="str">
        <f t="shared" si="11"/>
        <v/>
      </c>
      <c r="X47" s="14" t="str">
        <f t="shared" si="12"/>
        <v/>
      </c>
      <c r="Y47" s="15" t="str">
        <f t="shared" si="2"/>
        <v/>
      </c>
      <c r="Z47" s="342">
        <f t="shared" si="13"/>
        <v>0</v>
      </c>
      <c r="AA47" s="342">
        <f t="shared" si="14"/>
        <v>0</v>
      </c>
      <c r="AB47" s="342">
        <f t="shared" si="15"/>
        <v>0</v>
      </c>
      <c r="AC47" s="342">
        <f t="shared" si="16"/>
        <v>0</v>
      </c>
    </row>
    <row r="48" spans="1:29" ht="12.75" customHeight="1" x14ac:dyDescent="0.2">
      <c r="A48" s="71">
        <v>27</v>
      </c>
      <c r="B48" s="17"/>
      <c r="C48" s="17"/>
      <c r="D48" s="487"/>
      <c r="E48" s="487"/>
      <c r="F48" s="487"/>
      <c r="G48" s="487"/>
      <c r="H48" s="17"/>
      <c r="I48" s="492"/>
      <c r="J48" s="489" t="str">
        <f>IFERROR(VLOOKUP($Q48,FeeLookup!$J$5:$L$33,2,FALSE),"")</f>
        <v/>
      </c>
      <c r="K48" s="489" t="str">
        <f>IFERROR(VLOOKUP($Q48,FeeLookup!$J$5:$L$33,3,FALSE),"")</f>
        <v/>
      </c>
      <c r="L48" s="413" t="s">
        <v>29</v>
      </c>
      <c r="M48" s="414">
        <v>27</v>
      </c>
      <c r="N48" s="5">
        <f t="shared" si="4"/>
        <v>0</v>
      </c>
      <c r="O48" s="12" t="str">
        <f t="shared" si="5"/>
        <v>TEF</v>
      </c>
      <c r="P48" s="12" t="str">
        <f t="shared" si="6"/>
        <v/>
      </c>
      <c r="Q48" s="13" t="str">
        <f t="shared" si="7"/>
        <v>_TEF_</v>
      </c>
      <c r="R48" s="13" t="str">
        <f t="shared" si="8"/>
        <v/>
      </c>
      <c r="S48" s="12" t="str">
        <f t="shared" si="9"/>
        <v/>
      </c>
      <c r="T48" s="12" t="str">
        <f t="shared" si="0"/>
        <v/>
      </c>
      <c r="U48" s="12" t="str">
        <f t="shared" si="1"/>
        <v>NO</v>
      </c>
      <c r="V48" s="14" t="str">
        <f t="shared" si="10"/>
        <v/>
      </c>
      <c r="W48" s="14" t="str">
        <f t="shared" si="11"/>
        <v/>
      </c>
      <c r="X48" s="14" t="str">
        <f t="shared" si="12"/>
        <v/>
      </c>
      <c r="Y48" s="15" t="str">
        <f t="shared" si="2"/>
        <v/>
      </c>
      <c r="Z48" s="342">
        <f t="shared" si="13"/>
        <v>0</v>
      </c>
      <c r="AA48" s="342">
        <f t="shared" si="14"/>
        <v>0</v>
      </c>
      <c r="AB48" s="342">
        <f t="shared" si="15"/>
        <v>0</v>
      </c>
      <c r="AC48" s="342">
        <f t="shared" si="16"/>
        <v>0</v>
      </c>
    </row>
    <row r="49" spans="1:29" ht="12.75" customHeight="1" x14ac:dyDescent="0.2">
      <c r="A49" s="71">
        <v>28</v>
      </c>
      <c r="B49" s="17"/>
      <c r="C49" s="17"/>
      <c r="D49" s="487"/>
      <c r="E49" s="487"/>
      <c r="F49" s="487"/>
      <c r="G49" s="487"/>
      <c r="H49" s="17"/>
      <c r="I49" s="492"/>
      <c r="J49" s="489" t="str">
        <f>IFERROR(VLOOKUP($Q49,FeeLookup!$J$5:$L$33,2,FALSE),"")</f>
        <v/>
      </c>
      <c r="K49" s="489" t="str">
        <f>IFERROR(VLOOKUP($Q49,FeeLookup!$J$5:$L$33,3,FALSE),"")</f>
        <v/>
      </c>
      <c r="L49" s="413" t="s">
        <v>29</v>
      </c>
      <c r="M49" s="414">
        <v>28</v>
      </c>
      <c r="N49" s="5">
        <f t="shared" si="4"/>
        <v>0</v>
      </c>
      <c r="O49" s="12" t="str">
        <f t="shared" si="5"/>
        <v>TEF</v>
      </c>
      <c r="P49" s="12" t="str">
        <f t="shared" si="6"/>
        <v/>
      </c>
      <c r="Q49" s="13" t="str">
        <f t="shared" si="7"/>
        <v>_TEF_</v>
      </c>
      <c r="R49" s="13" t="str">
        <f t="shared" si="8"/>
        <v/>
      </c>
      <c r="S49" s="12" t="str">
        <f t="shared" si="9"/>
        <v/>
      </c>
      <c r="T49" s="12" t="str">
        <f t="shared" si="0"/>
        <v/>
      </c>
      <c r="U49" s="12" t="str">
        <f t="shared" si="1"/>
        <v>NO</v>
      </c>
      <c r="V49" s="14" t="str">
        <f t="shared" si="10"/>
        <v/>
      </c>
      <c r="W49" s="14" t="str">
        <f t="shared" si="11"/>
        <v/>
      </c>
      <c r="X49" s="14" t="str">
        <f t="shared" si="12"/>
        <v/>
      </c>
      <c r="Y49" s="15" t="str">
        <f t="shared" si="2"/>
        <v/>
      </c>
      <c r="Z49" s="342">
        <f t="shared" si="13"/>
        <v>0</v>
      </c>
      <c r="AA49" s="342">
        <f t="shared" si="14"/>
        <v>0</v>
      </c>
      <c r="AB49" s="342">
        <f t="shared" si="15"/>
        <v>0</v>
      </c>
      <c r="AC49" s="342">
        <f t="shared" si="16"/>
        <v>0</v>
      </c>
    </row>
    <row r="50" spans="1:29" ht="12.75" customHeight="1" x14ac:dyDescent="0.2">
      <c r="A50" s="71">
        <v>29</v>
      </c>
      <c r="B50" s="17"/>
      <c r="C50" s="17"/>
      <c r="D50" s="487"/>
      <c r="E50" s="487"/>
      <c r="F50" s="487"/>
      <c r="G50" s="487"/>
      <c r="H50" s="17"/>
      <c r="I50" s="492"/>
      <c r="J50" s="489" t="str">
        <f>IFERROR(VLOOKUP($Q50,FeeLookup!$J$5:$L$33,2,FALSE),"")</f>
        <v/>
      </c>
      <c r="K50" s="489" t="str">
        <f>IFERROR(VLOOKUP($Q50,FeeLookup!$J$5:$L$33,3,FALSE),"")</f>
        <v/>
      </c>
      <c r="L50" s="413" t="s">
        <v>29</v>
      </c>
      <c r="M50" s="414">
        <v>29</v>
      </c>
      <c r="N50" s="5">
        <f t="shared" si="4"/>
        <v>0</v>
      </c>
      <c r="O50" s="12" t="str">
        <f t="shared" si="5"/>
        <v>TEF</v>
      </c>
      <c r="P50" s="12" t="str">
        <f t="shared" si="6"/>
        <v/>
      </c>
      <c r="Q50" s="13" t="str">
        <f t="shared" si="7"/>
        <v>_TEF_</v>
      </c>
      <c r="R50" s="13" t="str">
        <f t="shared" si="8"/>
        <v/>
      </c>
      <c r="S50" s="12" t="str">
        <f t="shared" si="9"/>
        <v/>
      </c>
      <c r="T50" s="12" t="str">
        <f t="shared" si="0"/>
        <v/>
      </c>
      <c r="U50" s="12" t="str">
        <f t="shared" si="1"/>
        <v>NO</v>
      </c>
      <c r="V50" s="14" t="str">
        <f t="shared" si="10"/>
        <v/>
      </c>
      <c r="W50" s="14" t="str">
        <f t="shared" si="11"/>
        <v/>
      </c>
      <c r="X50" s="14" t="str">
        <f t="shared" si="12"/>
        <v/>
      </c>
      <c r="Y50" s="15" t="str">
        <f t="shared" si="2"/>
        <v/>
      </c>
      <c r="Z50" s="342">
        <f t="shared" si="13"/>
        <v>0</v>
      </c>
      <c r="AA50" s="342">
        <f t="shared" si="14"/>
        <v>0</v>
      </c>
      <c r="AB50" s="342">
        <f t="shared" si="15"/>
        <v>0</v>
      </c>
      <c r="AC50" s="342">
        <f t="shared" si="16"/>
        <v>0</v>
      </c>
    </row>
    <row r="51" spans="1:29" ht="12.75" customHeight="1" x14ac:dyDescent="0.2">
      <c r="A51" s="71">
        <v>30</v>
      </c>
      <c r="B51" s="17"/>
      <c r="C51" s="17"/>
      <c r="D51" s="487"/>
      <c r="E51" s="487"/>
      <c r="F51" s="487"/>
      <c r="G51" s="487"/>
      <c r="H51" s="17"/>
      <c r="I51" s="492"/>
      <c r="J51" s="489" t="str">
        <f>IFERROR(VLOOKUP($Q51,FeeLookup!$J$5:$L$33,2,FALSE),"")</f>
        <v/>
      </c>
      <c r="K51" s="489" t="str">
        <f>IFERROR(VLOOKUP($Q51,FeeLookup!$J$5:$L$33,3,FALSE),"")</f>
        <v/>
      </c>
      <c r="L51" s="413" t="s">
        <v>29</v>
      </c>
      <c r="M51" s="414">
        <v>30</v>
      </c>
      <c r="N51" s="5">
        <f t="shared" si="4"/>
        <v>0</v>
      </c>
      <c r="O51" s="12" t="str">
        <f t="shared" si="5"/>
        <v>TEF</v>
      </c>
      <c r="P51" s="12" t="str">
        <f t="shared" si="6"/>
        <v/>
      </c>
      <c r="Q51" s="13" t="str">
        <f t="shared" si="7"/>
        <v>_TEF_</v>
      </c>
      <c r="R51" s="13" t="str">
        <f t="shared" si="8"/>
        <v/>
      </c>
      <c r="S51" s="12" t="str">
        <f t="shared" si="9"/>
        <v/>
      </c>
      <c r="T51" s="12" t="str">
        <f t="shared" si="0"/>
        <v/>
      </c>
      <c r="U51" s="12" t="str">
        <f t="shared" si="1"/>
        <v>NO</v>
      </c>
      <c r="V51" s="14" t="str">
        <f t="shared" si="10"/>
        <v/>
      </c>
      <c r="W51" s="14" t="str">
        <f t="shared" si="11"/>
        <v/>
      </c>
      <c r="X51" s="14" t="str">
        <f t="shared" si="12"/>
        <v/>
      </c>
      <c r="Y51" s="15" t="str">
        <f t="shared" si="2"/>
        <v/>
      </c>
      <c r="Z51" s="342">
        <f t="shared" si="13"/>
        <v>0</v>
      </c>
      <c r="AA51" s="342">
        <f t="shared" si="14"/>
        <v>0</v>
      </c>
      <c r="AB51" s="342">
        <f t="shared" si="15"/>
        <v>0</v>
      </c>
      <c r="AC51" s="342">
        <f t="shared" si="16"/>
        <v>0</v>
      </c>
    </row>
    <row r="52" spans="1:29" ht="12.75" customHeight="1" x14ac:dyDescent="0.2">
      <c r="A52" s="71">
        <v>31</v>
      </c>
      <c r="B52" s="17"/>
      <c r="C52" s="17"/>
      <c r="D52" s="487"/>
      <c r="E52" s="487"/>
      <c r="F52" s="487"/>
      <c r="G52" s="487"/>
      <c r="H52" s="17"/>
      <c r="I52" s="492"/>
      <c r="J52" s="489" t="str">
        <f>IFERROR(VLOOKUP($Q52,FeeLookup!$J$5:$L$33,2,FALSE),"")</f>
        <v/>
      </c>
      <c r="K52" s="489" t="str">
        <f>IFERROR(VLOOKUP($Q52,FeeLookup!$J$5:$L$33,3,FALSE),"")</f>
        <v/>
      </c>
      <c r="L52" s="413" t="s">
        <v>29</v>
      </c>
      <c r="M52" s="414">
        <v>31</v>
      </c>
      <c r="N52" s="5">
        <f t="shared" si="4"/>
        <v>0</v>
      </c>
      <c r="O52" s="12" t="str">
        <f t="shared" si="5"/>
        <v>TEF</v>
      </c>
      <c r="P52" s="12" t="str">
        <f t="shared" si="6"/>
        <v/>
      </c>
      <c r="Q52" s="13" t="str">
        <f t="shared" si="7"/>
        <v>_TEF_</v>
      </c>
      <c r="R52" s="13" t="str">
        <f t="shared" si="8"/>
        <v/>
      </c>
      <c r="S52" s="12" t="str">
        <f t="shared" si="9"/>
        <v/>
      </c>
      <c r="T52" s="12" t="str">
        <f t="shared" si="0"/>
        <v/>
      </c>
      <c r="U52" s="12" t="str">
        <f t="shared" si="1"/>
        <v>NO</v>
      </c>
      <c r="V52" s="14" t="str">
        <f t="shared" si="10"/>
        <v/>
      </c>
      <c r="W52" s="14" t="str">
        <f t="shared" si="11"/>
        <v/>
      </c>
      <c r="X52" s="14" t="str">
        <f t="shared" si="12"/>
        <v/>
      </c>
      <c r="Y52" s="15" t="str">
        <f t="shared" si="2"/>
        <v/>
      </c>
      <c r="Z52" s="342">
        <f t="shared" si="13"/>
        <v>0</v>
      </c>
      <c r="AA52" s="342">
        <f t="shared" si="14"/>
        <v>0</v>
      </c>
      <c r="AB52" s="342">
        <f t="shared" si="15"/>
        <v>0</v>
      </c>
      <c r="AC52" s="342">
        <f t="shared" si="16"/>
        <v>0</v>
      </c>
    </row>
    <row r="53" spans="1:29" ht="12.75" customHeight="1" x14ac:dyDescent="0.2">
      <c r="A53" s="71">
        <v>32</v>
      </c>
      <c r="B53" s="17"/>
      <c r="C53" s="17"/>
      <c r="D53" s="487"/>
      <c r="E53" s="487"/>
      <c r="F53" s="487"/>
      <c r="G53" s="487"/>
      <c r="H53" s="17"/>
      <c r="I53" s="492"/>
      <c r="J53" s="489" t="str">
        <f>IFERROR(VLOOKUP($Q53,FeeLookup!$J$5:$L$33,2,FALSE),"")</f>
        <v/>
      </c>
      <c r="K53" s="489" t="str">
        <f>IFERROR(VLOOKUP($Q53,FeeLookup!$J$5:$L$33,3,FALSE),"")</f>
        <v/>
      </c>
      <c r="L53" s="413" t="s">
        <v>29</v>
      </c>
      <c r="M53" s="414">
        <v>32</v>
      </c>
      <c r="N53" s="5">
        <f t="shared" si="4"/>
        <v>0</v>
      </c>
      <c r="O53" s="12" t="str">
        <f t="shared" si="5"/>
        <v>TEF</v>
      </c>
      <c r="P53" s="12" t="str">
        <f t="shared" si="6"/>
        <v/>
      </c>
      <c r="Q53" s="13" t="str">
        <f t="shared" si="7"/>
        <v>_TEF_</v>
      </c>
      <c r="R53" s="13" t="str">
        <f t="shared" si="8"/>
        <v/>
      </c>
      <c r="S53" s="12" t="str">
        <f t="shared" si="9"/>
        <v/>
      </c>
      <c r="T53" s="12" t="str">
        <f t="shared" si="0"/>
        <v/>
      </c>
      <c r="U53" s="12" t="str">
        <f t="shared" si="1"/>
        <v>NO</v>
      </c>
      <c r="V53" s="14" t="str">
        <f t="shared" si="10"/>
        <v/>
      </c>
      <c r="W53" s="14" t="str">
        <f t="shared" si="11"/>
        <v/>
      </c>
      <c r="X53" s="14" t="str">
        <f t="shared" si="12"/>
        <v/>
      </c>
      <c r="Y53" s="15" t="str">
        <f t="shared" si="2"/>
        <v/>
      </c>
      <c r="Z53" s="342">
        <f t="shared" si="13"/>
        <v>0</v>
      </c>
      <c r="AA53" s="342">
        <f t="shared" si="14"/>
        <v>0</v>
      </c>
      <c r="AB53" s="342">
        <f t="shared" si="15"/>
        <v>0</v>
      </c>
      <c r="AC53" s="342">
        <f t="shared" si="16"/>
        <v>0</v>
      </c>
    </row>
    <row r="54" spans="1:29" ht="12.75" customHeight="1" x14ac:dyDescent="0.2">
      <c r="A54" s="71">
        <v>33</v>
      </c>
      <c r="B54" s="17"/>
      <c r="C54" s="17"/>
      <c r="D54" s="487"/>
      <c r="E54" s="487"/>
      <c r="F54" s="487"/>
      <c r="G54" s="487"/>
      <c r="H54" s="17"/>
      <c r="I54" s="492"/>
      <c r="J54" s="489" t="str">
        <f>IFERROR(VLOOKUP($Q54,FeeLookup!$J$5:$L$33,2,FALSE),"")</f>
        <v/>
      </c>
      <c r="K54" s="489" t="str">
        <f>IFERROR(VLOOKUP($Q54,FeeLookup!$J$5:$L$33,3,FALSE),"")</f>
        <v/>
      </c>
      <c r="L54" s="413" t="s">
        <v>29</v>
      </c>
      <c r="M54" s="414">
        <v>33</v>
      </c>
      <c r="N54" s="5">
        <f t="shared" si="4"/>
        <v>0</v>
      </c>
      <c r="O54" s="12" t="str">
        <f t="shared" si="5"/>
        <v>TEF</v>
      </c>
      <c r="P54" s="12" t="str">
        <f t="shared" si="6"/>
        <v/>
      </c>
      <c r="Q54" s="13" t="str">
        <f t="shared" si="7"/>
        <v>_TEF_</v>
      </c>
      <c r="R54" s="13" t="str">
        <f t="shared" si="8"/>
        <v/>
      </c>
      <c r="S54" s="12" t="str">
        <f t="shared" si="9"/>
        <v/>
      </c>
      <c r="T54" s="12" t="str">
        <f t="shared" si="0"/>
        <v/>
      </c>
      <c r="U54" s="12" t="str">
        <f t="shared" ref="U54:U85" si="17">IF(COUNTBLANK(B54:I54)=8,"NO","YES")</f>
        <v>NO</v>
      </c>
      <c r="V54" s="14" t="str">
        <f t="shared" si="10"/>
        <v/>
      </c>
      <c r="W54" s="14" t="str">
        <f t="shared" si="11"/>
        <v/>
      </c>
      <c r="X54" s="14" t="str">
        <f t="shared" si="12"/>
        <v/>
      </c>
      <c r="Y54" s="15" t="str">
        <f t="shared" si="2"/>
        <v/>
      </c>
      <c r="Z54" s="342">
        <f t="shared" si="13"/>
        <v>0</v>
      </c>
      <c r="AA54" s="342">
        <f t="shared" si="14"/>
        <v>0</v>
      </c>
      <c r="AB54" s="342">
        <f t="shared" si="15"/>
        <v>0</v>
      </c>
      <c r="AC54" s="342">
        <f t="shared" si="16"/>
        <v>0</v>
      </c>
    </row>
    <row r="55" spans="1:29" ht="12.75" customHeight="1" x14ac:dyDescent="0.2">
      <c r="A55" s="71">
        <v>34</v>
      </c>
      <c r="B55" s="17"/>
      <c r="C55" s="17"/>
      <c r="D55" s="487"/>
      <c r="E55" s="487"/>
      <c r="F55" s="487"/>
      <c r="G55" s="487"/>
      <c r="H55" s="17"/>
      <c r="I55" s="492"/>
      <c r="J55" s="489" t="str">
        <f>IFERROR(VLOOKUP($Q55,FeeLookup!$J$5:$L$33,2,FALSE),"")</f>
        <v/>
      </c>
      <c r="K55" s="489" t="str">
        <f>IFERROR(VLOOKUP($Q55,FeeLookup!$J$5:$L$33,3,FALSE),"")</f>
        <v/>
      </c>
      <c r="L55" s="413" t="s">
        <v>29</v>
      </c>
      <c r="M55" s="414">
        <v>34</v>
      </c>
      <c r="N55" s="5">
        <f t="shared" si="4"/>
        <v>0</v>
      </c>
      <c r="O55" s="12" t="str">
        <f t="shared" si="5"/>
        <v>TEF</v>
      </c>
      <c r="P55" s="12" t="str">
        <f t="shared" si="6"/>
        <v/>
      </c>
      <c r="Q55" s="13" t="str">
        <f t="shared" si="7"/>
        <v>_TEF_</v>
      </c>
      <c r="R55" s="13" t="str">
        <f t="shared" si="8"/>
        <v/>
      </c>
      <c r="S55" s="12" t="str">
        <f t="shared" si="9"/>
        <v/>
      </c>
      <c r="T55" s="12" t="str">
        <f t="shared" si="0"/>
        <v/>
      </c>
      <c r="U55" s="12" t="str">
        <f t="shared" si="17"/>
        <v>NO</v>
      </c>
      <c r="V55" s="14" t="str">
        <f t="shared" si="10"/>
        <v/>
      </c>
      <c r="W55" s="14" t="str">
        <f t="shared" si="11"/>
        <v/>
      </c>
      <c r="X55" s="14" t="str">
        <f t="shared" si="12"/>
        <v/>
      </c>
      <c r="Y55" s="15" t="str">
        <f t="shared" si="2"/>
        <v/>
      </c>
      <c r="Z55" s="342">
        <f t="shared" si="13"/>
        <v>0</v>
      </c>
      <c r="AA55" s="342">
        <f t="shared" si="14"/>
        <v>0</v>
      </c>
      <c r="AB55" s="342">
        <f t="shared" si="15"/>
        <v>0</v>
      </c>
      <c r="AC55" s="342">
        <f t="shared" si="16"/>
        <v>0</v>
      </c>
    </row>
    <row r="56" spans="1:29" ht="12.75" customHeight="1" x14ac:dyDescent="0.2">
      <c r="A56" s="71">
        <v>35</v>
      </c>
      <c r="B56" s="17"/>
      <c r="C56" s="17"/>
      <c r="D56" s="487"/>
      <c r="E56" s="487"/>
      <c r="F56" s="487"/>
      <c r="G56" s="487"/>
      <c r="H56" s="17"/>
      <c r="I56" s="492"/>
      <c r="J56" s="489" t="str">
        <f>IFERROR(VLOOKUP($Q56,FeeLookup!$J$5:$L$33,2,FALSE),"")</f>
        <v/>
      </c>
      <c r="K56" s="489" t="str">
        <f>IFERROR(VLOOKUP($Q56,FeeLookup!$J$5:$L$33,3,FALSE),"")</f>
        <v/>
      </c>
      <c r="L56" s="413" t="s">
        <v>29</v>
      </c>
      <c r="M56" s="414">
        <v>35</v>
      </c>
      <c r="N56" s="5">
        <f t="shared" si="4"/>
        <v>0</v>
      </c>
      <c r="O56" s="12" t="str">
        <f t="shared" si="5"/>
        <v>TEF</v>
      </c>
      <c r="P56" s="12" t="str">
        <f t="shared" si="6"/>
        <v/>
      </c>
      <c r="Q56" s="13" t="str">
        <f t="shared" si="7"/>
        <v>_TEF_</v>
      </c>
      <c r="R56" s="13" t="str">
        <f t="shared" si="8"/>
        <v/>
      </c>
      <c r="S56" s="12" t="str">
        <f t="shared" si="9"/>
        <v/>
      </c>
      <c r="T56" s="12" t="str">
        <f t="shared" si="0"/>
        <v/>
      </c>
      <c r="U56" s="12" t="str">
        <f t="shared" si="17"/>
        <v>NO</v>
      </c>
      <c r="V56" s="14" t="str">
        <f t="shared" si="10"/>
        <v/>
      </c>
      <c r="W56" s="14" t="str">
        <f t="shared" si="11"/>
        <v/>
      </c>
      <c r="X56" s="14" t="str">
        <f t="shared" si="12"/>
        <v/>
      </c>
      <c r="Y56" s="15" t="str">
        <f t="shared" si="2"/>
        <v/>
      </c>
      <c r="Z56" s="342">
        <f t="shared" si="13"/>
        <v>0</v>
      </c>
      <c r="AA56" s="342">
        <f t="shared" si="14"/>
        <v>0</v>
      </c>
      <c r="AB56" s="342">
        <f t="shared" si="15"/>
        <v>0</v>
      </c>
      <c r="AC56" s="342">
        <f t="shared" si="16"/>
        <v>0</v>
      </c>
    </row>
    <row r="57" spans="1:29" ht="12.75" customHeight="1" x14ac:dyDescent="0.2">
      <c r="A57" s="71">
        <v>36</v>
      </c>
      <c r="B57" s="17"/>
      <c r="C57" s="17"/>
      <c r="D57" s="487"/>
      <c r="E57" s="487"/>
      <c r="F57" s="487"/>
      <c r="G57" s="487"/>
      <c r="H57" s="17"/>
      <c r="I57" s="492"/>
      <c r="J57" s="489" t="str">
        <f>IFERROR(VLOOKUP($Q57,FeeLookup!$J$5:$L$33,2,FALSE),"")</f>
        <v/>
      </c>
      <c r="K57" s="489" t="str">
        <f>IFERROR(VLOOKUP($Q57,FeeLookup!$J$5:$L$33,3,FALSE),"")</f>
        <v/>
      </c>
      <c r="L57" s="413" t="s">
        <v>29</v>
      </c>
      <c r="M57" s="414">
        <v>36</v>
      </c>
      <c r="N57" s="5">
        <f t="shared" si="4"/>
        <v>0</v>
      </c>
      <c r="O57" s="12" t="str">
        <f t="shared" si="5"/>
        <v>TEF</v>
      </c>
      <c r="P57" s="12" t="str">
        <f t="shared" si="6"/>
        <v/>
      </c>
      <c r="Q57" s="13" t="str">
        <f t="shared" si="7"/>
        <v>_TEF_</v>
      </c>
      <c r="R57" s="13" t="str">
        <f t="shared" si="8"/>
        <v/>
      </c>
      <c r="S57" s="12" t="str">
        <f t="shared" si="9"/>
        <v/>
      </c>
      <c r="T57" s="12" t="str">
        <f t="shared" si="0"/>
        <v/>
      </c>
      <c r="U57" s="12" t="str">
        <f t="shared" si="17"/>
        <v>NO</v>
      </c>
      <c r="V57" s="14" t="str">
        <f t="shared" si="10"/>
        <v/>
      </c>
      <c r="W57" s="14" t="str">
        <f t="shared" si="11"/>
        <v/>
      </c>
      <c r="X57" s="14" t="str">
        <f t="shared" si="12"/>
        <v/>
      </c>
      <c r="Y57" s="15" t="str">
        <f t="shared" si="2"/>
        <v/>
      </c>
      <c r="Z57" s="342">
        <f t="shared" si="13"/>
        <v>0</v>
      </c>
      <c r="AA57" s="342">
        <f t="shared" si="14"/>
        <v>0</v>
      </c>
      <c r="AB57" s="342">
        <f t="shared" si="15"/>
        <v>0</v>
      </c>
      <c r="AC57" s="342">
        <f t="shared" si="16"/>
        <v>0</v>
      </c>
    </row>
    <row r="58" spans="1:29" ht="12.75" customHeight="1" x14ac:dyDescent="0.2">
      <c r="A58" s="71">
        <v>37</v>
      </c>
      <c r="B58" s="17"/>
      <c r="C58" s="17"/>
      <c r="D58" s="487"/>
      <c r="E58" s="487"/>
      <c r="F58" s="487"/>
      <c r="G58" s="487"/>
      <c r="H58" s="17"/>
      <c r="I58" s="492"/>
      <c r="J58" s="489" t="str">
        <f>IFERROR(VLOOKUP($Q58,FeeLookup!$J$5:$L$33,2,FALSE),"")</f>
        <v/>
      </c>
      <c r="K58" s="489" t="str">
        <f>IFERROR(VLOOKUP($Q58,FeeLookup!$J$5:$L$33,3,FALSE),"")</f>
        <v/>
      </c>
      <c r="L58" s="413" t="s">
        <v>29</v>
      </c>
      <c r="M58" s="414">
        <v>37</v>
      </c>
      <c r="N58" s="5">
        <f t="shared" si="4"/>
        <v>0</v>
      </c>
      <c r="O58" s="12" t="str">
        <f t="shared" si="5"/>
        <v>TEF</v>
      </c>
      <c r="P58" s="12" t="str">
        <f t="shared" si="6"/>
        <v/>
      </c>
      <c r="Q58" s="13" t="str">
        <f t="shared" si="7"/>
        <v>_TEF_</v>
      </c>
      <c r="R58" s="13" t="str">
        <f t="shared" si="8"/>
        <v/>
      </c>
      <c r="S58" s="12" t="str">
        <f t="shared" si="9"/>
        <v/>
      </c>
      <c r="T58" s="12" t="str">
        <f t="shared" si="0"/>
        <v/>
      </c>
      <c r="U58" s="12" t="str">
        <f t="shared" si="17"/>
        <v>NO</v>
      </c>
      <c r="V58" s="14" t="str">
        <f t="shared" si="10"/>
        <v/>
      </c>
      <c r="W58" s="14" t="str">
        <f t="shared" si="11"/>
        <v/>
      </c>
      <c r="X58" s="14" t="str">
        <f t="shared" si="12"/>
        <v/>
      </c>
      <c r="Y58" s="15" t="str">
        <f t="shared" si="2"/>
        <v/>
      </c>
      <c r="Z58" s="342">
        <f t="shared" si="13"/>
        <v>0</v>
      </c>
      <c r="AA58" s="342">
        <f t="shared" si="14"/>
        <v>0</v>
      </c>
      <c r="AB58" s="342">
        <f t="shared" si="15"/>
        <v>0</v>
      </c>
      <c r="AC58" s="342">
        <f t="shared" si="16"/>
        <v>0</v>
      </c>
    </row>
    <row r="59" spans="1:29" ht="12.75" customHeight="1" x14ac:dyDescent="0.2">
      <c r="A59" s="71">
        <v>38</v>
      </c>
      <c r="B59" s="17"/>
      <c r="C59" s="17"/>
      <c r="D59" s="487"/>
      <c r="E59" s="487"/>
      <c r="F59" s="487"/>
      <c r="G59" s="487"/>
      <c r="H59" s="17"/>
      <c r="I59" s="492"/>
      <c r="J59" s="489" t="str">
        <f>IFERROR(VLOOKUP($Q59,FeeLookup!$J$5:$L$33,2,FALSE),"")</f>
        <v/>
      </c>
      <c r="K59" s="489" t="str">
        <f>IFERROR(VLOOKUP($Q59,FeeLookup!$J$5:$L$33,3,FALSE),"")</f>
        <v/>
      </c>
      <c r="L59" s="413" t="s">
        <v>29</v>
      </c>
      <c r="M59" s="414">
        <v>38</v>
      </c>
      <c r="N59" s="5">
        <f t="shared" si="4"/>
        <v>0</v>
      </c>
      <c r="O59" s="12" t="str">
        <f t="shared" si="5"/>
        <v>TEF</v>
      </c>
      <c r="P59" s="12" t="str">
        <f t="shared" si="6"/>
        <v/>
      </c>
      <c r="Q59" s="13" t="str">
        <f t="shared" si="7"/>
        <v>_TEF_</v>
      </c>
      <c r="R59" s="13" t="str">
        <f t="shared" si="8"/>
        <v/>
      </c>
      <c r="S59" s="12" t="str">
        <f t="shared" si="9"/>
        <v/>
      </c>
      <c r="T59" s="12" t="str">
        <f t="shared" si="0"/>
        <v/>
      </c>
      <c r="U59" s="12" t="str">
        <f t="shared" si="17"/>
        <v>NO</v>
      </c>
      <c r="V59" s="14" t="str">
        <f t="shared" si="10"/>
        <v/>
      </c>
      <c r="W59" s="14" t="str">
        <f t="shared" si="11"/>
        <v/>
      </c>
      <c r="X59" s="14" t="str">
        <f t="shared" si="12"/>
        <v/>
      </c>
      <c r="Y59" s="15" t="str">
        <f t="shared" si="2"/>
        <v/>
      </c>
      <c r="Z59" s="342">
        <f t="shared" si="13"/>
        <v>0</v>
      </c>
      <c r="AA59" s="342">
        <f t="shared" si="14"/>
        <v>0</v>
      </c>
      <c r="AB59" s="342">
        <f t="shared" si="15"/>
        <v>0</v>
      </c>
      <c r="AC59" s="342">
        <f t="shared" si="16"/>
        <v>0</v>
      </c>
    </row>
    <row r="60" spans="1:29" ht="12.75" customHeight="1" x14ac:dyDescent="0.2">
      <c r="A60" s="71">
        <v>39</v>
      </c>
      <c r="B60" s="17"/>
      <c r="C60" s="17"/>
      <c r="D60" s="487"/>
      <c r="E60" s="487"/>
      <c r="F60" s="487"/>
      <c r="G60" s="487"/>
      <c r="H60" s="17"/>
      <c r="I60" s="492"/>
      <c r="J60" s="489" t="str">
        <f>IFERROR(VLOOKUP($Q60,FeeLookup!$J$5:$L$33,2,FALSE),"")</f>
        <v/>
      </c>
      <c r="K60" s="489" t="str">
        <f>IFERROR(VLOOKUP($Q60,FeeLookup!$J$5:$L$33,3,FALSE),"")</f>
        <v/>
      </c>
      <c r="L60" s="413" t="s">
        <v>29</v>
      </c>
      <c r="M60" s="414">
        <v>39</v>
      </c>
      <c r="N60" s="5">
        <f t="shared" si="4"/>
        <v>0</v>
      </c>
      <c r="O60" s="12" t="str">
        <f t="shared" si="5"/>
        <v>TEF</v>
      </c>
      <c r="P60" s="12" t="str">
        <f t="shared" si="6"/>
        <v/>
      </c>
      <c r="Q60" s="13" t="str">
        <f t="shared" si="7"/>
        <v>_TEF_</v>
      </c>
      <c r="R60" s="13" t="str">
        <f t="shared" si="8"/>
        <v/>
      </c>
      <c r="S60" s="12" t="str">
        <f t="shared" si="9"/>
        <v/>
      </c>
      <c r="T60" s="12" t="str">
        <f t="shared" si="0"/>
        <v/>
      </c>
      <c r="U60" s="12" t="str">
        <f t="shared" si="17"/>
        <v>NO</v>
      </c>
      <c r="V60" s="14" t="str">
        <f t="shared" si="10"/>
        <v/>
      </c>
      <c r="W60" s="14" t="str">
        <f t="shared" si="11"/>
        <v/>
      </c>
      <c r="X60" s="14" t="str">
        <f t="shared" si="12"/>
        <v/>
      </c>
      <c r="Y60" s="15" t="str">
        <f t="shared" si="2"/>
        <v/>
      </c>
      <c r="Z60" s="342">
        <f t="shared" si="13"/>
        <v>0</v>
      </c>
      <c r="AA60" s="342">
        <f t="shared" si="14"/>
        <v>0</v>
      </c>
      <c r="AB60" s="342">
        <f t="shared" si="15"/>
        <v>0</v>
      </c>
      <c r="AC60" s="342">
        <f t="shared" si="16"/>
        <v>0</v>
      </c>
    </row>
    <row r="61" spans="1:29" ht="12.75" customHeight="1" x14ac:dyDescent="0.2">
      <c r="A61" s="71">
        <v>40</v>
      </c>
      <c r="B61" s="17"/>
      <c r="C61" s="17"/>
      <c r="D61" s="487"/>
      <c r="E61" s="487"/>
      <c r="F61" s="487"/>
      <c r="G61" s="487"/>
      <c r="H61" s="17"/>
      <c r="I61" s="492"/>
      <c r="J61" s="489" t="str">
        <f>IFERROR(VLOOKUP($Q61,FeeLookup!$J$5:$L$33,2,FALSE),"")</f>
        <v/>
      </c>
      <c r="K61" s="489" t="str">
        <f>IFERROR(VLOOKUP($Q61,FeeLookup!$J$5:$L$33,3,FALSE),"")</f>
        <v/>
      </c>
      <c r="L61" s="413" t="s">
        <v>29</v>
      </c>
      <c r="M61" s="414">
        <v>40</v>
      </c>
      <c r="N61" s="5">
        <f t="shared" si="4"/>
        <v>0</v>
      </c>
      <c r="O61" s="12" t="str">
        <f t="shared" si="5"/>
        <v>TEF</v>
      </c>
      <c r="P61" s="12" t="str">
        <f t="shared" si="6"/>
        <v/>
      </c>
      <c r="Q61" s="13" t="str">
        <f t="shared" si="7"/>
        <v>_TEF_</v>
      </c>
      <c r="R61" s="13" t="str">
        <f t="shared" si="8"/>
        <v/>
      </c>
      <c r="S61" s="12" t="str">
        <f t="shared" si="9"/>
        <v/>
      </c>
      <c r="T61" s="12" t="str">
        <f t="shared" si="0"/>
        <v/>
      </c>
      <c r="U61" s="12" t="str">
        <f t="shared" si="17"/>
        <v>NO</v>
      </c>
      <c r="V61" s="14" t="str">
        <f t="shared" si="10"/>
        <v/>
      </c>
      <c r="W61" s="14" t="str">
        <f t="shared" si="11"/>
        <v/>
      </c>
      <c r="X61" s="14" t="str">
        <f t="shared" si="12"/>
        <v/>
      </c>
      <c r="Y61" s="15" t="str">
        <f t="shared" si="2"/>
        <v/>
      </c>
      <c r="Z61" s="342">
        <f t="shared" si="13"/>
        <v>0</v>
      </c>
      <c r="AA61" s="342">
        <f t="shared" si="14"/>
        <v>0</v>
      </c>
      <c r="AB61" s="342">
        <f t="shared" si="15"/>
        <v>0</v>
      </c>
      <c r="AC61" s="342">
        <f t="shared" si="16"/>
        <v>0</v>
      </c>
    </row>
    <row r="62" spans="1:29" ht="12.75" customHeight="1" x14ac:dyDescent="0.2">
      <c r="A62" s="71">
        <v>41</v>
      </c>
      <c r="B62" s="17"/>
      <c r="C62" s="17"/>
      <c r="D62" s="487"/>
      <c r="E62" s="487"/>
      <c r="F62" s="487"/>
      <c r="G62" s="487"/>
      <c r="H62" s="17"/>
      <c r="I62" s="492"/>
      <c r="J62" s="489" t="str">
        <f>IFERROR(VLOOKUP($Q62,FeeLookup!$J$5:$L$33,2,FALSE),"")</f>
        <v/>
      </c>
      <c r="K62" s="489" t="str">
        <f>IFERROR(VLOOKUP($Q62,FeeLookup!$J$5:$L$33,3,FALSE),"")</f>
        <v/>
      </c>
      <c r="L62" s="413" t="s">
        <v>29</v>
      </c>
      <c r="M62" s="414">
        <v>41</v>
      </c>
      <c r="N62" s="5">
        <f t="shared" si="4"/>
        <v>0</v>
      </c>
      <c r="O62" s="12" t="str">
        <f t="shared" si="5"/>
        <v>TEF</v>
      </c>
      <c r="P62" s="12" t="str">
        <f t="shared" si="6"/>
        <v/>
      </c>
      <c r="Q62" s="13" t="str">
        <f t="shared" si="7"/>
        <v>_TEF_</v>
      </c>
      <c r="R62" s="13" t="str">
        <f t="shared" si="8"/>
        <v/>
      </c>
      <c r="S62" s="12" t="str">
        <f t="shared" si="9"/>
        <v/>
      </c>
      <c r="T62" s="12" t="str">
        <f t="shared" si="0"/>
        <v/>
      </c>
      <c r="U62" s="12" t="str">
        <f t="shared" si="17"/>
        <v>NO</v>
      </c>
      <c r="V62" s="14" t="str">
        <f t="shared" si="10"/>
        <v/>
      </c>
      <c r="W62" s="14" t="str">
        <f t="shared" si="11"/>
        <v/>
      </c>
      <c r="X62" s="14" t="str">
        <f t="shared" si="12"/>
        <v/>
      </c>
      <c r="Y62" s="15" t="str">
        <f t="shared" si="2"/>
        <v/>
      </c>
      <c r="Z62" s="342">
        <f t="shared" si="13"/>
        <v>0</v>
      </c>
      <c r="AA62" s="342">
        <f t="shared" si="14"/>
        <v>0</v>
      </c>
      <c r="AB62" s="342">
        <f t="shared" si="15"/>
        <v>0</v>
      </c>
      <c r="AC62" s="342">
        <f t="shared" si="16"/>
        <v>0</v>
      </c>
    </row>
    <row r="63" spans="1:29" ht="12.75" customHeight="1" x14ac:dyDescent="0.2">
      <c r="A63" s="71">
        <v>42</v>
      </c>
      <c r="B63" s="17"/>
      <c r="C63" s="17"/>
      <c r="D63" s="487"/>
      <c r="E63" s="487"/>
      <c r="F63" s="487"/>
      <c r="G63" s="487"/>
      <c r="H63" s="17"/>
      <c r="I63" s="492"/>
      <c r="J63" s="489" t="str">
        <f>IFERROR(VLOOKUP($Q63,FeeLookup!$J$5:$L$33,2,FALSE),"")</f>
        <v/>
      </c>
      <c r="K63" s="489" t="str">
        <f>IFERROR(VLOOKUP($Q63,FeeLookup!$J$5:$L$33,3,FALSE),"")</f>
        <v/>
      </c>
      <c r="L63" s="413" t="s">
        <v>29</v>
      </c>
      <c r="M63" s="414">
        <v>42</v>
      </c>
      <c r="N63" s="5">
        <f t="shared" si="4"/>
        <v>0</v>
      </c>
      <c r="O63" s="12" t="str">
        <f t="shared" si="5"/>
        <v>TEF</v>
      </c>
      <c r="P63" s="12" t="str">
        <f t="shared" si="6"/>
        <v/>
      </c>
      <c r="Q63" s="13" t="str">
        <f t="shared" si="7"/>
        <v>_TEF_</v>
      </c>
      <c r="R63" s="13" t="str">
        <f t="shared" si="8"/>
        <v/>
      </c>
      <c r="S63" s="12" t="str">
        <f t="shared" si="9"/>
        <v/>
      </c>
      <c r="T63" s="12" t="str">
        <f t="shared" si="0"/>
        <v/>
      </c>
      <c r="U63" s="12" t="str">
        <f t="shared" si="17"/>
        <v>NO</v>
      </c>
      <c r="V63" s="14" t="str">
        <f t="shared" si="10"/>
        <v/>
      </c>
      <c r="W63" s="14" t="str">
        <f t="shared" si="11"/>
        <v/>
      </c>
      <c r="X63" s="14" t="str">
        <f t="shared" si="12"/>
        <v/>
      </c>
      <c r="Y63" s="15" t="str">
        <f t="shared" si="2"/>
        <v/>
      </c>
      <c r="Z63" s="342">
        <f t="shared" si="13"/>
        <v>0</v>
      </c>
      <c r="AA63" s="342">
        <f t="shared" si="14"/>
        <v>0</v>
      </c>
      <c r="AB63" s="342">
        <f t="shared" si="15"/>
        <v>0</v>
      </c>
      <c r="AC63" s="342">
        <f t="shared" si="16"/>
        <v>0</v>
      </c>
    </row>
    <row r="64" spans="1:29" ht="12.75" customHeight="1" x14ac:dyDescent="0.2">
      <c r="A64" s="71">
        <v>43</v>
      </c>
      <c r="B64" s="17"/>
      <c r="C64" s="17"/>
      <c r="D64" s="487"/>
      <c r="E64" s="487"/>
      <c r="F64" s="487"/>
      <c r="G64" s="487"/>
      <c r="H64" s="17"/>
      <c r="I64" s="492"/>
      <c r="J64" s="489" t="str">
        <f>IFERROR(VLOOKUP($Q64,FeeLookup!$J$5:$L$33,2,FALSE),"")</f>
        <v/>
      </c>
      <c r="K64" s="489" t="str">
        <f>IFERROR(VLOOKUP($Q64,FeeLookup!$J$5:$L$33,3,FALSE),"")</f>
        <v/>
      </c>
      <c r="L64" s="413" t="s">
        <v>29</v>
      </c>
      <c r="M64" s="414">
        <v>43</v>
      </c>
      <c r="N64" s="5">
        <f t="shared" si="4"/>
        <v>0</v>
      </c>
      <c r="O64" s="12" t="str">
        <f t="shared" si="5"/>
        <v>TEF</v>
      </c>
      <c r="P64" s="12" t="str">
        <f t="shared" si="6"/>
        <v/>
      </c>
      <c r="Q64" s="13" t="str">
        <f t="shared" si="7"/>
        <v>_TEF_</v>
      </c>
      <c r="R64" s="13" t="str">
        <f t="shared" si="8"/>
        <v/>
      </c>
      <c r="S64" s="12" t="str">
        <f t="shared" si="9"/>
        <v/>
      </c>
      <c r="T64" s="12" t="str">
        <f t="shared" si="0"/>
        <v/>
      </c>
      <c r="U64" s="12" t="str">
        <f t="shared" si="17"/>
        <v>NO</v>
      </c>
      <c r="V64" s="14" t="str">
        <f t="shared" si="10"/>
        <v/>
      </c>
      <c r="W64" s="14" t="str">
        <f t="shared" si="11"/>
        <v/>
      </c>
      <c r="X64" s="14" t="str">
        <f t="shared" si="12"/>
        <v/>
      </c>
      <c r="Y64" s="15" t="str">
        <f t="shared" si="2"/>
        <v/>
      </c>
      <c r="Z64" s="342">
        <f t="shared" si="13"/>
        <v>0</v>
      </c>
      <c r="AA64" s="342">
        <f t="shared" si="14"/>
        <v>0</v>
      </c>
      <c r="AB64" s="342">
        <f t="shared" si="15"/>
        <v>0</v>
      </c>
      <c r="AC64" s="342">
        <f t="shared" si="16"/>
        <v>0</v>
      </c>
    </row>
    <row r="65" spans="1:29" ht="12.75" customHeight="1" x14ac:dyDescent="0.2">
      <c r="A65" s="71">
        <v>44</v>
      </c>
      <c r="B65" s="17"/>
      <c r="C65" s="17"/>
      <c r="D65" s="487"/>
      <c r="E65" s="487"/>
      <c r="F65" s="487"/>
      <c r="G65" s="487"/>
      <c r="H65" s="17"/>
      <c r="I65" s="492"/>
      <c r="J65" s="489" t="str">
        <f>IFERROR(VLOOKUP($Q65,FeeLookup!$J$5:$L$33,2,FALSE),"")</f>
        <v/>
      </c>
      <c r="K65" s="489" t="str">
        <f>IFERROR(VLOOKUP($Q65,FeeLookup!$J$5:$L$33,3,FALSE),"")</f>
        <v/>
      </c>
      <c r="L65" s="413" t="s">
        <v>29</v>
      </c>
      <c r="M65" s="414">
        <v>44</v>
      </c>
      <c r="N65" s="5">
        <f t="shared" si="4"/>
        <v>0</v>
      </c>
      <c r="O65" s="12" t="str">
        <f t="shared" si="5"/>
        <v>TEF</v>
      </c>
      <c r="P65" s="12" t="str">
        <f t="shared" si="6"/>
        <v/>
      </c>
      <c r="Q65" s="13" t="str">
        <f t="shared" si="7"/>
        <v>_TEF_</v>
      </c>
      <c r="R65" s="13" t="str">
        <f t="shared" si="8"/>
        <v/>
      </c>
      <c r="S65" s="12" t="str">
        <f t="shared" si="9"/>
        <v/>
      </c>
      <c r="T65" s="12" t="str">
        <f t="shared" si="0"/>
        <v/>
      </c>
      <c r="U65" s="12" t="str">
        <f t="shared" si="17"/>
        <v>NO</v>
      </c>
      <c r="V65" s="14" t="str">
        <f t="shared" si="10"/>
        <v/>
      </c>
      <c r="W65" s="14" t="str">
        <f t="shared" si="11"/>
        <v/>
      </c>
      <c r="X65" s="14" t="str">
        <f t="shared" si="12"/>
        <v/>
      </c>
      <c r="Y65" s="15" t="str">
        <f t="shared" si="2"/>
        <v/>
      </c>
      <c r="Z65" s="342">
        <f t="shared" si="13"/>
        <v>0</v>
      </c>
      <c r="AA65" s="342">
        <f t="shared" si="14"/>
        <v>0</v>
      </c>
      <c r="AB65" s="342">
        <f t="shared" si="15"/>
        <v>0</v>
      </c>
      <c r="AC65" s="342">
        <f t="shared" si="16"/>
        <v>0</v>
      </c>
    </row>
    <row r="66" spans="1:29" ht="12.75" customHeight="1" x14ac:dyDescent="0.2">
      <c r="A66" s="71">
        <v>45</v>
      </c>
      <c r="B66" s="17"/>
      <c r="C66" s="17"/>
      <c r="D66" s="487"/>
      <c r="E66" s="487"/>
      <c r="F66" s="487"/>
      <c r="G66" s="487"/>
      <c r="H66" s="17"/>
      <c r="I66" s="492"/>
      <c r="J66" s="489" t="str">
        <f>IFERROR(VLOOKUP($Q66,FeeLookup!$J$5:$L$33,2,FALSE),"")</f>
        <v/>
      </c>
      <c r="K66" s="489" t="str">
        <f>IFERROR(VLOOKUP($Q66,FeeLookup!$J$5:$L$33,3,FALSE),"")</f>
        <v/>
      </c>
      <c r="L66" s="413" t="s">
        <v>29</v>
      </c>
      <c r="M66" s="414">
        <v>45</v>
      </c>
      <c r="N66" s="5">
        <f t="shared" si="4"/>
        <v>0</v>
      </c>
      <c r="O66" s="12" t="str">
        <f t="shared" si="5"/>
        <v>TEF</v>
      </c>
      <c r="P66" s="12" t="str">
        <f t="shared" si="6"/>
        <v/>
      </c>
      <c r="Q66" s="13" t="str">
        <f t="shared" si="7"/>
        <v>_TEF_</v>
      </c>
      <c r="R66" s="13" t="str">
        <f t="shared" si="8"/>
        <v/>
      </c>
      <c r="S66" s="12" t="str">
        <f t="shared" si="9"/>
        <v/>
      </c>
      <c r="T66" s="12" t="str">
        <f t="shared" si="0"/>
        <v/>
      </c>
      <c r="U66" s="12" t="str">
        <f t="shared" si="17"/>
        <v>NO</v>
      </c>
      <c r="V66" s="14" t="str">
        <f t="shared" si="10"/>
        <v/>
      </c>
      <c r="W66" s="14" t="str">
        <f t="shared" si="11"/>
        <v/>
      </c>
      <c r="X66" s="14" t="str">
        <f t="shared" si="12"/>
        <v/>
      </c>
      <c r="Y66" s="15" t="str">
        <f t="shared" si="2"/>
        <v/>
      </c>
      <c r="Z66" s="342">
        <f t="shared" si="13"/>
        <v>0</v>
      </c>
      <c r="AA66" s="342">
        <f t="shared" si="14"/>
        <v>0</v>
      </c>
      <c r="AB66" s="342">
        <f t="shared" si="15"/>
        <v>0</v>
      </c>
      <c r="AC66" s="342">
        <f t="shared" si="16"/>
        <v>0</v>
      </c>
    </row>
    <row r="67" spans="1:29" ht="12.75" customHeight="1" x14ac:dyDescent="0.2">
      <c r="A67" s="71">
        <v>46</v>
      </c>
      <c r="B67" s="17"/>
      <c r="C67" s="17"/>
      <c r="D67" s="487"/>
      <c r="E67" s="487"/>
      <c r="F67" s="487"/>
      <c r="G67" s="487"/>
      <c r="H67" s="17"/>
      <c r="I67" s="492"/>
      <c r="J67" s="489" t="str">
        <f>IFERROR(VLOOKUP($Q67,FeeLookup!$J$5:$L$33,2,FALSE),"")</f>
        <v/>
      </c>
      <c r="K67" s="489" t="str">
        <f>IFERROR(VLOOKUP($Q67,FeeLookup!$J$5:$L$33,3,FALSE),"")</f>
        <v/>
      </c>
      <c r="L67" s="413" t="s">
        <v>29</v>
      </c>
      <c r="M67" s="414">
        <v>46</v>
      </c>
      <c r="N67" s="5">
        <f t="shared" si="4"/>
        <v>0</v>
      </c>
      <c r="O67" s="12" t="str">
        <f t="shared" si="5"/>
        <v>TEF</v>
      </c>
      <c r="P67" s="12" t="str">
        <f t="shared" si="6"/>
        <v/>
      </c>
      <c r="Q67" s="13" t="str">
        <f t="shared" si="7"/>
        <v>_TEF_</v>
      </c>
      <c r="R67" s="13" t="str">
        <f t="shared" si="8"/>
        <v/>
      </c>
      <c r="S67" s="12" t="str">
        <f t="shared" si="9"/>
        <v/>
      </c>
      <c r="T67" s="12" t="str">
        <f t="shared" si="0"/>
        <v/>
      </c>
      <c r="U67" s="12" t="str">
        <f t="shared" si="17"/>
        <v>NO</v>
      </c>
      <c r="V67" s="14" t="str">
        <f t="shared" si="10"/>
        <v/>
      </c>
      <c r="W67" s="14" t="str">
        <f t="shared" si="11"/>
        <v/>
      </c>
      <c r="X67" s="14" t="str">
        <f t="shared" si="12"/>
        <v/>
      </c>
      <c r="Y67" s="15" t="str">
        <f t="shared" si="2"/>
        <v/>
      </c>
      <c r="Z67" s="342">
        <f t="shared" si="13"/>
        <v>0</v>
      </c>
      <c r="AA67" s="342">
        <f t="shared" si="14"/>
        <v>0</v>
      </c>
      <c r="AB67" s="342">
        <f t="shared" si="15"/>
        <v>0</v>
      </c>
      <c r="AC67" s="342">
        <f t="shared" si="16"/>
        <v>0</v>
      </c>
    </row>
    <row r="68" spans="1:29" ht="12.75" customHeight="1" x14ac:dyDescent="0.2">
      <c r="A68" s="71">
        <v>47</v>
      </c>
      <c r="B68" s="17"/>
      <c r="C68" s="17"/>
      <c r="D68" s="487"/>
      <c r="E68" s="487"/>
      <c r="F68" s="487"/>
      <c r="G68" s="487"/>
      <c r="H68" s="17"/>
      <c r="I68" s="492"/>
      <c r="J68" s="489" t="str">
        <f>IFERROR(VLOOKUP($Q68,FeeLookup!$J$5:$L$33,2,FALSE),"")</f>
        <v/>
      </c>
      <c r="K68" s="489" t="str">
        <f>IFERROR(VLOOKUP($Q68,FeeLookup!$J$5:$L$33,3,FALSE),"")</f>
        <v/>
      </c>
      <c r="L68" s="413" t="s">
        <v>29</v>
      </c>
      <c r="M68" s="414">
        <v>47</v>
      </c>
      <c r="N68" s="5">
        <f t="shared" si="4"/>
        <v>0</v>
      </c>
      <c r="O68" s="12" t="str">
        <f t="shared" si="5"/>
        <v>TEF</v>
      </c>
      <c r="P68" s="12" t="str">
        <f t="shared" si="6"/>
        <v/>
      </c>
      <c r="Q68" s="13" t="str">
        <f t="shared" si="7"/>
        <v>_TEF_</v>
      </c>
      <c r="R68" s="13" t="str">
        <f t="shared" si="8"/>
        <v/>
      </c>
      <c r="S68" s="12" t="str">
        <f t="shared" si="9"/>
        <v/>
      </c>
      <c r="T68" s="12" t="str">
        <f t="shared" si="0"/>
        <v/>
      </c>
      <c r="U68" s="12" t="str">
        <f t="shared" si="17"/>
        <v>NO</v>
      </c>
      <c r="V68" s="14" t="str">
        <f t="shared" si="10"/>
        <v/>
      </c>
      <c r="W68" s="14" t="str">
        <f t="shared" si="11"/>
        <v/>
      </c>
      <c r="X68" s="14" t="str">
        <f t="shared" si="12"/>
        <v/>
      </c>
      <c r="Y68" s="15" t="str">
        <f t="shared" si="2"/>
        <v/>
      </c>
      <c r="Z68" s="342">
        <f t="shared" si="13"/>
        <v>0</v>
      </c>
      <c r="AA68" s="342">
        <f t="shared" si="14"/>
        <v>0</v>
      </c>
      <c r="AB68" s="342">
        <f t="shared" si="15"/>
        <v>0</v>
      </c>
      <c r="AC68" s="342">
        <f t="shared" si="16"/>
        <v>0</v>
      </c>
    </row>
    <row r="69" spans="1:29" ht="12.75" customHeight="1" x14ac:dyDescent="0.2">
      <c r="A69" s="71">
        <v>48</v>
      </c>
      <c r="B69" s="17"/>
      <c r="C69" s="17"/>
      <c r="D69" s="487"/>
      <c r="E69" s="487"/>
      <c r="F69" s="487"/>
      <c r="G69" s="487"/>
      <c r="H69" s="17"/>
      <c r="I69" s="492"/>
      <c r="J69" s="489" t="str">
        <f>IFERROR(VLOOKUP($Q69,FeeLookup!$J$5:$L$33,2,FALSE),"")</f>
        <v/>
      </c>
      <c r="K69" s="489" t="str">
        <f>IFERROR(VLOOKUP($Q69,FeeLookup!$J$5:$L$33,3,FALSE),"")</f>
        <v/>
      </c>
      <c r="L69" s="413" t="s">
        <v>29</v>
      </c>
      <c r="M69" s="414">
        <v>48</v>
      </c>
      <c r="N69" s="5">
        <f t="shared" si="4"/>
        <v>0</v>
      </c>
      <c r="O69" s="12" t="str">
        <f t="shared" si="5"/>
        <v>TEF</v>
      </c>
      <c r="P69" s="12" t="str">
        <f t="shared" si="6"/>
        <v/>
      </c>
      <c r="Q69" s="13" t="str">
        <f t="shared" si="7"/>
        <v>_TEF_</v>
      </c>
      <c r="R69" s="13" t="str">
        <f t="shared" si="8"/>
        <v/>
      </c>
      <c r="S69" s="12" t="str">
        <f t="shared" si="9"/>
        <v/>
      </c>
      <c r="T69" s="12" t="str">
        <f t="shared" si="0"/>
        <v/>
      </c>
      <c r="U69" s="12" t="str">
        <f t="shared" si="17"/>
        <v>NO</v>
      </c>
      <c r="V69" s="14" t="str">
        <f t="shared" si="10"/>
        <v/>
      </c>
      <c r="W69" s="14" t="str">
        <f t="shared" si="11"/>
        <v/>
      </c>
      <c r="X69" s="14" t="str">
        <f t="shared" si="12"/>
        <v/>
      </c>
      <c r="Y69" s="15" t="str">
        <f t="shared" si="2"/>
        <v/>
      </c>
      <c r="Z69" s="342">
        <f t="shared" si="13"/>
        <v>0</v>
      </c>
      <c r="AA69" s="342">
        <f t="shared" si="14"/>
        <v>0</v>
      </c>
      <c r="AB69" s="342">
        <f t="shared" si="15"/>
        <v>0</v>
      </c>
      <c r="AC69" s="342">
        <f t="shared" si="16"/>
        <v>0</v>
      </c>
    </row>
    <row r="70" spans="1:29" ht="12.75" customHeight="1" x14ac:dyDescent="0.2">
      <c r="A70" s="71">
        <v>49</v>
      </c>
      <c r="B70" s="17"/>
      <c r="C70" s="17"/>
      <c r="D70" s="487"/>
      <c r="E70" s="487"/>
      <c r="F70" s="487"/>
      <c r="G70" s="487"/>
      <c r="H70" s="17"/>
      <c r="I70" s="492"/>
      <c r="J70" s="489" t="str">
        <f>IFERROR(VLOOKUP($Q70,FeeLookup!$J$5:$L$33,2,FALSE),"")</f>
        <v/>
      </c>
      <c r="K70" s="489" t="str">
        <f>IFERROR(VLOOKUP($Q70,FeeLookup!$J$5:$L$33,3,FALSE),"")</f>
        <v/>
      </c>
      <c r="L70" s="413" t="s">
        <v>29</v>
      </c>
      <c r="M70" s="414">
        <v>49</v>
      </c>
      <c r="N70" s="5">
        <f t="shared" si="4"/>
        <v>0</v>
      </c>
      <c r="O70" s="12" t="str">
        <f t="shared" si="5"/>
        <v>TEF</v>
      </c>
      <c r="P70" s="12" t="str">
        <f t="shared" si="6"/>
        <v/>
      </c>
      <c r="Q70" s="13" t="str">
        <f t="shared" si="7"/>
        <v>_TEF_</v>
      </c>
      <c r="R70" s="13" t="str">
        <f t="shared" si="8"/>
        <v/>
      </c>
      <c r="S70" s="12" t="str">
        <f t="shared" si="9"/>
        <v/>
      </c>
      <c r="T70" s="12" t="str">
        <f t="shared" si="0"/>
        <v/>
      </c>
      <c r="U70" s="12" t="str">
        <f t="shared" si="17"/>
        <v>NO</v>
      </c>
      <c r="V70" s="14" t="str">
        <f t="shared" si="10"/>
        <v/>
      </c>
      <c r="W70" s="14" t="str">
        <f t="shared" si="11"/>
        <v/>
      </c>
      <c r="X70" s="14" t="str">
        <f t="shared" si="12"/>
        <v/>
      </c>
      <c r="Y70" s="15" t="str">
        <f t="shared" si="2"/>
        <v/>
      </c>
      <c r="Z70" s="342">
        <f t="shared" si="13"/>
        <v>0</v>
      </c>
      <c r="AA70" s="342">
        <f t="shared" si="14"/>
        <v>0</v>
      </c>
      <c r="AB70" s="342">
        <f t="shared" si="15"/>
        <v>0</v>
      </c>
      <c r="AC70" s="342">
        <f t="shared" si="16"/>
        <v>0</v>
      </c>
    </row>
    <row r="71" spans="1:29" ht="12.75" customHeight="1" x14ac:dyDescent="0.2">
      <c r="A71" s="71">
        <v>50</v>
      </c>
      <c r="B71" s="17"/>
      <c r="C71" s="17"/>
      <c r="D71" s="487"/>
      <c r="E71" s="487"/>
      <c r="F71" s="487"/>
      <c r="G71" s="487"/>
      <c r="H71" s="17"/>
      <c r="I71" s="492"/>
      <c r="J71" s="489" t="str">
        <f>IFERROR(VLOOKUP($Q71,FeeLookup!$J$5:$L$33,2,FALSE),"")</f>
        <v/>
      </c>
      <c r="K71" s="489" t="str">
        <f>IFERROR(VLOOKUP($Q71,FeeLookup!$J$5:$L$33,3,FALSE),"")</f>
        <v/>
      </c>
      <c r="L71" s="413" t="s">
        <v>29</v>
      </c>
      <c r="M71" s="414">
        <v>50</v>
      </c>
      <c r="N71" s="5">
        <f t="shared" si="4"/>
        <v>0</v>
      </c>
      <c r="O71" s="12" t="str">
        <f t="shared" si="5"/>
        <v>TEF</v>
      </c>
      <c r="P71" s="12" t="str">
        <f t="shared" si="6"/>
        <v/>
      </c>
      <c r="Q71" s="13" t="str">
        <f t="shared" si="7"/>
        <v>_TEF_</v>
      </c>
      <c r="R71" s="13" t="str">
        <f t="shared" si="8"/>
        <v/>
      </c>
      <c r="S71" s="12" t="str">
        <f t="shared" si="9"/>
        <v/>
      </c>
      <c r="T71" s="12" t="str">
        <f t="shared" si="0"/>
        <v/>
      </c>
      <c r="U71" s="12" t="str">
        <f t="shared" si="17"/>
        <v>NO</v>
      </c>
      <c r="V71" s="14" t="str">
        <f t="shared" si="10"/>
        <v/>
      </c>
      <c r="W71" s="14" t="str">
        <f t="shared" si="11"/>
        <v/>
      </c>
      <c r="X71" s="14" t="str">
        <f t="shared" si="12"/>
        <v/>
      </c>
      <c r="Y71" s="15" t="str">
        <f t="shared" si="2"/>
        <v/>
      </c>
      <c r="Z71" s="342">
        <f t="shared" si="13"/>
        <v>0</v>
      </c>
      <c r="AA71" s="342">
        <f t="shared" si="14"/>
        <v>0</v>
      </c>
      <c r="AB71" s="342">
        <f t="shared" si="15"/>
        <v>0</v>
      </c>
      <c r="AC71" s="342">
        <f t="shared" si="16"/>
        <v>0</v>
      </c>
    </row>
    <row r="72" spans="1:29" ht="12.75" customHeight="1" x14ac:dyDescent="0.2">
      <c r="A72" s="71">
        <v>51</v>
      </c>
      <c r="B72" s="17"/>
      <c r="C72" s="17"/>
      <c r="D72" s="487"/>
      <c r="E72" s="487"/>
      <c r="F72" s="487"/>
      <c r="G72" s="487"/>
      <c r="H72" s="17"/>
      <c r="I72" s="492"/>
      <c r="J72" s="489" t="str">
        <f>IFERROR(VLOOKUP($Q72,FeeLookup!$J$5:$L$33,2,FALSE),"")</f>
        <v/>
      </c>
      <c r="K72" s="489" t="str">
        <f>IFERROR(VLOOKUP($Q72,FeeLookup!$J$5:$L$33,3,FALSE),"")</f>
        <v/>
      </c>
      <c r="L72" s="413" t="s">
        <v>29</v>
      </c>
      <c r="M72" s="414">
        <v>51</v>
      </c>
      <c r="N72" s="5">
        <f t="shared" si="4"/>
        <v>0</v>
      </c>
      <c r="O72" s="12" t="str">
        <f t="shared" si="5"/>
        <v>TEF</v>
      </c>
      <c r="P72" s="12" t="str">
        <f t="shared" si="6"/>
        <v/>
      </c>
      <c r="Q72" s="13" t="str">
        <f t="shared" si="7"/>
        <v>_TEF_</v>
      </c>
      <c r="R72" s="13" t="str">
        <f t="shared" si="8"/>
        <v/>
      </c>
      <c r="S72" s="12" t="str">
        <f t="shared" si="9"/>
        <v/>
      </c>
      <c r="T72" s="12" t="str">
        <f t="shared" si="0"/>
        <v/>
      </c>
      <c r="U72" s="12" t="str">
        <f t="shared" si="17"/>
        <v>NO</v>
      </c>
      <c r="V72" s="14" t="str">
        <f t="shared" si="10"/>
        <v/>
      </c>
      <c r="W72" s="14" t="str">
        <f t="shared" si="11"/>
        <v/>
      </c>
      <c r="X72" s="14" t="str">
        <f t="shared" si="12"/>
        <v/>
      </c>
      <c r="Y72" s="15" t="str">
        <f t="shared" si="2"/>
        <v/>
      </c>
      <c r="Z72" s="342">
        <f t="shared" si="13"/>
        <v>0</v>
      </c>
      <c r="AA72" s="342">
        <f t="shared" si="14"/>
        <v>0</v>
      </c>
      <c r="AB72" s="342">
        <f t="shared" si="15"/>
        <v>0</v>
      </c>
      <c r="AC72" s="342">
        <f t="shared" si="16"/>
        <v>0</v>
      </c>
    </row>
    <row r="73" spans="1:29" ht="12.75" customHeight="1" x14ac:dyDescent="0.2">
      <c r="A73" s="71">
        <v>52</v>
      </c>
      <c r="B73" s="17"/>
      <c r="C73" s="17"/>
      <c r="D73" s="487"/>
      <c r="E73" s="487"/>
      <c r="F73" s="487"/>
      <c r="G73" s="487"/>
      <c r="H73" s="17"/>
      <c r="I73" s="492"/>
      <c r="J73" s="489" t="str">
        <f>IFERROR(VLOOKUP($Q73,FeeLookup!$J$5:$L$33,2,FALSE),"")</f>
        <v/>
      </c>
      <c r="K73" s="489" t="str">
        <f>IFERROR(VLOOKUP($Q73,FeeLookup!$J$5:$L$33,3,FALSE),"")</f>
        <v/>
      </c>
      <c r="L73" s="413" t="s">
        <v>29</v>
      </c>
      <c r="M73" s="414">
        <v>52</v>
      </c>
      <c r="N73" s="5">
        <f t="shared" si="4"/>
        <v>0</v>
      </c>
      <c r="O73" s="12" t="str">
        <f t="shared" si="5"/>
        <v>TEF</v>
      </c>
      <c r="P73" s="12" t="str">
        <f t="shared" si="6"/>
        <v/>
      </c>
      <c r="Q73" s="13" t="str">
        <f t="shared" si="7"/>
        <v>_TEF_</v>
      </c>
      <c r="R73" s="13" t="str">
        <f t="shared" si="8"/>
        <v/>
      </c>
      <c r="S73" s="12" t="str">
        <f t="shared" si="9"/>
        <v/>
      </c>
      <c r="T73" s="12" t="str">
        <f t="shared" si="0"/>
        <v/>
      </c>
      <c r="U73" s="12" t="str">
        <f t="shared" si="17"/>
        <v>NO</v>
      </c>
      <c r="V73" s="14" t="str">
        <f t="shared" si="10"/>
        <v/>
      </c>
      <c r="W73" s="14" t="str">
        <f t="shared" si="11"/>
        <v/>
      </c>
      <c r="X73" s="14" t="str">
        <f t="shared" si="12"/>
        <v/>
      </c>
      <c r="Y73" s="15" t="str">
        <f t="shared" si="2"/>
        <v/>
      </c>
      <c r="Z73" s="342">
        <f t="shared" si="13"/>
        <v>0</v>
      </c>
      <c r="AA73" s="342">
        <f t="shared" si="14"/>
        <v>0</v>
      </c>
      <c r="AB73" s="342">
        <f t="shared" si="15"/>
        <v>0</v>
      </c>
      <c r="AC73" s="342">
        <f t="shared" si="16"/>
        <v>0</v>
      </c>
    </row>
    <row r="74" spans="1:29" ht="12.75" customHeight="1" x14ac:dyDescent="0.2">
      <c r="A74" s="71">
        <v>53</v>
      </c>
      <c r="B74" s="17"/>
      <c r="C74" s="17"/>
      <c r="D74" s="487"/>
      <c r="E74" s="487"/>
      <c r="F74" s="487"/>
      <c r="G74" s="487"/>
      <c r="H74" s="17"/>
      <c r="I74" s="492"/>
      <c r="J74" s="489" t="str">
        <f>IFERROR(VLOOKUP($Q74,FeeLookup!$J$5:$L$33,2,FALSE),"")</f>
        <v/>
      </c>
      <c r="K74" s="489" t="str">
        <f>IFERROR(VLOOKUP($Q74,FeeLookup!$J$5:$L$33,3,FALSE),"")</f>
        <v/>
      </c>
      <c r="L74" s="413" t="s">
        <v>29</v>
      </c>
      <c r="M74" s="414">
        <v>53</v>
      </c>
      <c r="N74" s="5">
        <f t="shared" si="4"/>
        <v>0</v>
      </c>
      <c r="O74" s="12" t="str">
        <f t="shared" si="5"/>
        <v>TEF</v>
      </c>
      <c r="P74" s="12" t="str">
        <f t="shared" si="6"/>
        <v/>
      </c>
      <c r="Q74" s="13" t="str">
        <f t="shared" si="7"/>
        <v>_TEF_</v>
      </c>
      <c r="R74" s="13" t="str">
        <f t="shared" si="8"/>
        <v/>
      </c>
      <c r="S74" s="12" t="str">
        <f t="shared" si="9"/>
        <v/>
      </c>
      <c r="T74" s="12" t="str">
        <f t="shared" si="0"/>
        <v/>
      </c>
      <c r="U74" s="12" t="str">
        <f t="shared" si="17"/>
        <v>NO</v>
      </c>
      <c r="V74" s="14" t="str">
        <f t="shared" si="10"/>
        <v/>
      </c>
      <c r="W74" s="14" t="str">
        <f t="shared" si="11"/>
        <v/>
      </c>
      <c r="X74" s="14" t="str">
        <f t="shared" si="12"/>
        <v/>
      </c>
      <c r="Y74" s="15" t="str">
        <f t="shared" si="2"/>
        <v/>
      </c>
      <c r="Z74" s="342">
        <f t="shared" si="13"/>
        <v>0</v>
      </c>
      <c r="AA74" s="342">
        <f t="shared" si="14"/>
        <v>0</v>
      </c>
      <c r="AB74" s="342">
        <f t="shared" si="15"/>
        <v>0</v>
      </c>
      <c r="AC74" s="342">
        <f t="shared" si="16"/>
        <v>0</v>
      </c>
    </row>
    <row r="75" spans="1:29" ht="12.75" customHeight="1" x14ac:dyDescent="0.2">
      <c r="A75" s="71">
        <v>54</v>
      </c>
      <c r="B75" s="17"/>
      <c r="C75" s="17"/>
      <c r="D75" s="487"/>
      <c r="E75" s="487"/>
      <c r="F75" s="487"/>
      <c r="G75" s="487"/>
      <c r="H75" s="17"/>
      <c r="I75" s="492"/>
      <c r="J75" s="489" t="str">
        <f>IFERROR(VLOOKUP($Q75,FeeLookup!$J$5:$L$33,2,FALSE),"")</f>
        <v/>
      </c>
      <c r="K75" s="489" t="str">
        <f>IFERROR(VLOOKUP($Q75,FeeLookup!$J$5:$L$33,3,FALSE),"")</f>
        <v/>
      </c>
      <c r="L75" s="413" t="s">
        <v>29</v>
      </c>
      <c r="M75" s="414">
        <v>54</v>
      </c>
      <c r="N75" s="5">
        <f t="shared" si="4"/>
        <v>0</v>
      </c>
      <c r="O75" s="12" t="str">
        <f t="shared" si="5"/>
        <v>TEF</v>
      </c>
      <c r="P75" s="12" t="str">
        <f t="shared" si="6"/>
        <v/>
      </c>
      <c r="Q75" s="13" t="str">
        <f t="shared" si="7"/>
        <v>_TEF_</v>
      </c>
      <c r="R75" s="13" t="str">
        <f t="shared" si="8"/>
        <v/>
      </c>
      <c r="S75" s="12" t="str">
        <f t="shared" si="9"/>
        <v/>
      </c>
      <c r="T75" s="12" t="str">
        <f t="shared" si="0"/>
        <v/>
      </c>
      <c r="U75" s="12" t="str">
        <f t="shared" si="17"/>
        <v>NO</v>
      </c>
      <c r="V75" s="14" t="str">
        <f t="shared" si="10"/>
        <v/>
      </c>
      <c r="W75" s="14" t="str">
        <f t="shared" si="11"/>
        <v/>
      </c>
      <c r="X75" s="14" t="str">
        <f t="shared" si="12"/>
        <v/>
      </c>
      <c r="Y75" s="15" t="str">
        <f t="shared" si="2"/>
        <v/>
      </c>
      <c r="Z75" s="342">
        <f t="shared" si="13"/>
        <v>0</v>
      </c>
      <c r="AA75" s="342">
        <f t="shared" si="14"/>
        <v>0</v>
      </c>
      <c r="AB75" s="342">
        <f t="shared" si="15"/>
        <v>0</v>
      </c>
      <c r="AC75" s="342">
        <f t="shared" si="16"/>
        <v>0</v>
      </c>
    </row>
    <row r="76" spans="1:29" ht="12.75" customHeight="1" x14ac:dyDescent="0.2">
      <c r="A76" s="71">
        <v>55</v>
      </c>
      <c r="B76" s="17"/>
      <c r="C76" s="17"/>
      <c r="D76" s="487"/>
      <c r="E76" s="487"/>
      <c r="F76" s="487"/>
      <c r="G76" s="487"/>
      <c r="H76" s="17"/>
      <c r="I76" s="492"/>
      <c r="J76" s="489" t="str">
        <f>IFERROR(VLOOKUP($Q76,FeeLookup!$J$5:$L$33,2,FALSE),"")</f>
        <v/>
      </c>
      <c r="K76" s="489" t="str">
        <f>IFERROR(VLOOKUP($Q76,FeeLookup!$J$5:$L$33,3,FALSE),"")</f>
        <v/>
      </c>
      <c r="L76" s="413" t="s">
        <v>29</v>
      </c>
      <c r="M76" s="414">
        <v>55</v>
      </c>
      <c r="N76" s="5">
        <f t="shared" si="4"/>
        <v>0</v>
      </c>
      <c r="O76" s="12" t="str">
        <f t="shared" si="5"/>
        <v>TEF</v>
      </c>
      <c r="P76" s="12" t="str">
        <f t="shared" si="6"/>
        <v/>
      </c>
      <c r="Q76" s="13" t="str">
        <f t="shared" si="7"/>
        <v>_TEF_</v>
      </c>
      <c r="R76" s="13" t="str">
        <f t="shared" si="8"/>
        <v/>
      </c>
      <c r="S76" s="12" t="str">
        <f t="shared" si="9"/>
        <v/>
      </c>
      <c r="T76" s="12" t="str">
        <f t="shared" si="0"/>
        <v/>
      </c>
      <c r="U76" s="12" t="str">
        <f t="shared" si="17"/>
        <v>NO</v>
      </c>
      <c r="V76" s="14" t="str">
        <f t="shared" si="10"/>
        <v/>
      </c>
      <c r="W76" s="14" t="str">
        <f t="shared" si="11"/>
        <v/>
      </c>
      <c r="X76" s="14" t="str">
        <f t="shared" si="12"/>
        <v/>
      </c>
      <c r="Y76" s="15" t="str">
        <f t="shared" si="2"/>
        <v/>
      </c>
      <c r="Z76" s="342">
        <f t="shared" si="13"/>
        <v>0</v>
      </c>
      <c r="AA76" s="342">
        <f t="shared" si="14"/>
        <v>0</v>
      </c>
      <c r="AB76" s="342">
        <f t="shared" si="15"/>
        <v>0</v>
      </c>
      <c r="AC76" s="342">
        <f t="shared" si="16"/>
        <v>0</v>
      </c>
    </row>
    <row r="77" spans="1:29" ht="12.75" customHeight="1" x14ac:dyDescent="0.2">
      <c r="A77" s="71">
        <v>56</v>
      </c>
      <c r="B77" s="17"/>
      <c r="C77" s="17"/>
      <c r="D77" s="487"/>
      <c r="E77" s="487"/>
      <c r="F77" s="487"/>
      <c r="G77" s="487"/>
      <c r="H77" s="17"/>
      <c r="I77" s="492"/>
      <c r="J77" s="489" t="str">
        <f>IFERROR(VLOOKUP($Q77,FeeLookup!$J$5:$L$33,2,FALSE),"")</f>
        <v/>
      </c>
      <c r="K77" s="489" t="str">
        <f>IFERROR(VLOOKUP($Q77,FeeLookup!$J$5:$L$33,3,FALSE),"")</f>
        <v/>
      </c>
      <c r="L77" s="413" t="s">
        <v>29</v>
      </c>
      <c r="M77" s="414">
        <v>56</v>
      </c>
      <c r="N77" s="5">
        <f t="shared" si="4"/>
        <v>0</v>
      </c>
      <c r="O77" s="12" t="str">
        <f t="shared" si="5"/>
        <v>TEF</v>
      </c>
      <c r="P77" s="12" t="str">
        <f t="shared" si="6"/>
        <v/>
      </c>
      <c r="Q77" s="13" t="str">
        <f t="shared" si="7"/>
        <v>_TEF_</v>
      </c>
      <c r="R77" s="13" t="str">
        <f t="shared" si="8"/>
        <v/>
      </c>
      <c r="S77" s="12" t="str">
        <f t="shared" si="9"/>
        <v/>
      </c>
      <c r="T77" s="12" t="str">
        <f t="shared" si="0"/>
        <v/>
      </c>
      <c r="U77" s="12" t="str">
        <f t="shared" si="17"/>
        <v>NO</v>
      </c>
      <c r="V77" s="14" t="str">
        <f t="shared" si="10"/>
        <v/>
      </c>
      <c r="W77" s="14" t="str">
        <f t="shared" si="11"/>
        <v/>
      </c>
      <c r="X77" s="14" t="str">
        <f t="shared" si="12"/>
        <v/>
      </c>
      <c r="Y77" s="15" t="str">
        <f t="shared" si="2"/>
        <v/>
      </c>
      <c r="Z77" s="342">
        <f t="shared" si="13"/>
        <v>0</v>
      </c>
      <c r="AA77" s="342">
        <f t="shared" si="14"/>
        <v>0</v>
      </c>
      <c r="AB77" s="342">
        <f t="shared" si="15"/>
        <v>0</v>
      </c>
      <c r="AC77" s="342">
        <f t="shared" si="16"/>
        <v>0</v>
      </c>
    </row>
    <row r="78" spans="1:29" ht="12.75" customHeight="1" x14ac:dyDescent="0.2">
      <c r="A78" s="71">
        <v>57</v>
      </c>
      <c r="B78" s="17"/>
      <c r="C78" s="17"/>
      <c r="D78" s="487"/>
      <c r="E78" s="487"/>
      <c r="F78" s="487"/>
      <c r="G78" s="487"/>
      <c r="H78" s="17"/>
      <c r="I78" s="492"/>
      <c r="J78" s="489" t="str">
        <f>IFERROR(VLOOKUP($Q78,FeeLookup!$J$5:$L$33,2,FALSE),"")</f>
        <v/>
      </c>
      <c r="K78" s="489" t="str">
        <f>IFERROR(VLOOKUP($Q78,FeeLookup!$J$5:$L$33,3,FALSE),"")</f>
        <v/>
      </c>
      <c r="L78" s="413" t="s">
        <v>29</v>
      </c>
      <c r="M78" s="414">
        <v>57</v>
      </c>
      <c r="N78" s="5">
        <f t="shared" si="4"/>
        <v>0</v>
      </c>
      <c r="O78" s="12" t="str">
        <f t="shared" si="5"/>
        <v>TEF</v>
      </c>
      <c r="P78" s="12" t="str">
        <f t="shared" si="6"/>
        <v/>
      </c>
      <c r="Q78" s="13" t="str">
        <f t="shared" si="7"/>
        <v>_TEF_</v>
      </c>
      <c r="R78" s="13" t="str">
        <f t="shared" si="8"/>
        <v/>
      </c>
      <c r="S78" s="12" t="str">
        <f t="shared" si="9"/>
        <v/>
      </c>
      <c r="T78" s="12" t="str">
        <f t="shared" si="0"/>
        <v/>
      </c>
      <c r="U78" s="12" t="str">
        <f t="shared" si="17"/>
        <v>NO</v>
      </c>
      <c r="V78" s="14" t="str">
        <f t="shared" si="10"/>
        <v/>
      </c>
      <c r="W78" s="14" t="str">
        <f t="shared" si="11"/>
        <v/>
      </c>
      <c r="X78" s="14" t="str">
        <f t="shared" si="12"/>
        <v/>
      </c>
      <c r="Y78" s="15" t="str">
        <f t="shared" si="2"/>
        <v/>
      </c>
      <c r="Z78" s="342">
        <f t="shared" si="13"/>
        <v>0</v>
      </c>
      <c r="AA78" s="342">
        <f t="shared" si="14"/>
        <v>0</v>
      </c>
      <c r="AB78" s="342">
        <f t="shared" si="15"/>
        <v>0</v>
      </c>
      <c r="AC78" s="342">
        <f t="shared" si="16"/>
        <v>0</v>
      </c>
    </row>
    <row r="79" spans="1:29" ht="12.75" customHeight="1" x14ac:dyDescent="0.2">
      <c r="A79" s="71">
        <v>58</v>
      </c>
      <c r="B79" s="17"/>
      <c r="C79" s="17"/>
      <c r="D79" s="487"/>
      <c r="E79" s="487"/>
      <c r="F79" s="487"/>
      <c r="G79" s="487"/>
      <c r="H79" s="17"/>
      <c r="I79" s="492"/>
      <c r="J79" s="489" t="str">
        <f>IFERROR(VLOOKUP($Q79,FeeLookup!$J$5:$L$33,2,FALSE),"")</f>
        <v/>
      </c>
      <c r="K79" s="489" t="str">
        <f>IFERROR(VLOOKUP($Q79,FeeLookup!$J$5:$L$33,3,FALSE),"")</f>
        <v/>
      </c>
      <c r="L79" s="413" t="s">
        <v>29</v>
      </c>
      <c r="M79" s="414">
        <v>58</v>
      </c>
      <c r="N79" s="5">
        <f t="shared" si="4"/>
        <v>0</v>
      </c>
      <c r="O79" s="12" t="str">
        <f t="shared" si="5"/>
        <v>TEF</v>
      </c>
      <c r="P79" s="12" t="str">
        <f t="shared" si="6"/>
        <v/>
      </c>
      <c r="Q79" s="13" t="str">
        <f t="shared" si="7"/>
        <v>_TEF_</v>
      </c>
      <c r="R79" s="13" t="str">
        <f t="shared" si="8"/>
        <v/>
      </c>
      <c r="S79" s="12" t="str">
        <f t="shared" si="9"/>
        <v/>
      </c>
      <c r="T79" s="12" t="str">
        <f t="shared" si="0"/>
        <v/>
      </c>
      <c r="U79" s="12" t="str">
        <f t="shared" si="17"/>
        <v>NO</v>
      </c>
      <c r="V79" s="14" t="str">
        <f t="shared" si="10"/>
        <v/>
      </c>
      <c r="W79" s="14" t="str">
        <f t="shared" si="11"/>
        <v/>
      </c>
      <c r="X79" s="14" t="str">
        <f t="shared" si="12"/>
        <v/>
      </c>
      <c r="Y79" s="15" t="str">
        <f t="shared" si="2"/>
        <v/>
      </c>
      <c r="Z79" s="342">
        <f t="shared" si="13"/>
        <v>0</v>
      </c>
      <c r="AA79" s="342">
        <f t="shared" si="14"/>
        <v>0</v>
      </c>
      <c r="AB79" s="342">
        <f t="shared" si="15"/>
        <v>0</v>
      </c>
      <c r="AC79" s="342">
        <f t="shared" si="16"/>
        <v>0</v>
      </c>
    </row>
    <row r="80" spans="1:29" ht="12.75" customHeight="1" x14ac:dyDescent="0.2">
      <c r="A80" s="71">
        <v>59</v>
      </c>
      <c r="B80" s="17"/>
      <c r="C80" s="17"/>
      <c r="D80" s="487"/>
      <c r="E80" s="487"/>
      <c r="F80" s="487"/>
      <c r="G80" s="487"/>
      <c r="H80" s="17"/>
      <c r="I80" s="492"/>
      <c r="J80" s="489" t="str">
        <f>IFERROR(VLOOKUP($Q80,FeeLookup!$J$5:$L$33,2,FALSE),"")</f>
        <v/>
      </c>
      <c r="K80" s="489" t="str">
        <f>IFERROR(VLOOKUP($Q80,FeeLookup!$J$5:$L$33,3,FALSE),"")</f>
        <v/>
      </c>
      <c r="L80" s="413" t="s">
        <v>29</v>
      </c>
      <c r="M80" s="414">
        <v>59</v>
      </c>
      <c r="N80" s="5">
        <f t="shared" si="4"/>
        <v>0</v>
      </c>
      <c r="O80" s="12" t="str">
        <f t="shared" si="5"/>
        <v>TEF</v>
      </c>
      <c r="P80" s="12" t="str">
        <f t="shared" si="6"/>
        <v/>
      </c>
      <c r="Q80" s="13" t="str">
        <f t="shared" si="7"/>
        <v>_TEF_</v>
      </c>
      <c r="R80" s="13" t="str">
        <f t="shared" si="8"/>
        <v/>
      </c>
      <c r="S80" s="12" t="str">
        <f t="shared" si="9"/>
        <v/>
      </c>
      <c r="T80" s="12" t="str">
        <f t="shared" si="0"/>
        <v/>
      </c>
      <c r="U80" s="12" t="str">
        <f t="shared" si="17"/>
        <v>NO</v>
      </c>
      <c r="V80" s="14" t="str">
        <f t="shared" si="10"/>
        <v/>
      </c>
      <c r="W80" s="14" t="str">
        <f t="shared" si="11"/>
        <v/>
      </c>
      <c r="X80" s="14" t="str">
        <f t="shared" si="12"/>
        <v/>
      </c>
      <c r="Y80" s="15" t="str">
        <f t="shared" si="2"/>
        <v/>
      </c>
      <c r="Z80" s="342">
        <f t="shared" si="13"/>
        <v>0</v>
      </c>
      <c r="AA80" s="342">
        <f t="shared" si="14"/>
        <v>0</v>
      </c>
      <c r="AB80" s="342">
        <f t="shared" si="15"/>
        <v>0</v>
      </c>
      <c r="AC80" s="342">
        <f t="shared" si="16"/>
        <v>0</v>
      </c>
    </row>
    <row r="81" spans="1:29" ht="12.75" customHeight="1" x14ac:dyDescent="0.2">
      <c r="A81" s="71">
        <v>60</v>
      </c>
      <c r="B81" s="17"/>
      <c r="C81" s="17"/>
      <c r="D81" s="487"/>
      <c r="E81" s="487"/>
      <c r="F81" s="487"/>
      <c r="G81" s="487"/>
      <c r="H81" s="17"/>
      <c r="I81" s="492"/>
      <c r="J81" s="489" t="str">
        <f>IFERROR(VLOOKUP($Q81,FeeLookup!$J$5:$L$33,2,FALSE),"")</f>
        <v/>
      </c>
      <c r="K81" s="489" t="str">
        <f>IFERROR(VLOOKUP($Q81,FeeLookup!$J$5:$L$33,3,FALSE),"")</f>
        <v/>
      </c>
      <c r="L81" s="413" t="s">
        <v>29</v>
      </c>
      <c r="M81" s="414">
        <v>60</v>
      </c>
      <c r="N81" s="5">
        <f t="shared" si="4"/>
        <v>0</v>
      </c>
      <c r="O81" s="12" t="str">
        <f t="shared" si="5"/>
        <v>TEF</v>
      </c>
      <c r="P81" s="12" t="str">
        <f t="shared" si="6"/>
        <v/>
      </c>
      <c r="Q81" s="13" t="str">
        <f t="shared" si="7"/>
        <v>_TEF_</v>
      </c>
      <c r="R81" s="13" t="str">
        <f t="shared" si="8"/>
        <v/>
      </c>
      <c r="S81" s="12" t="str">
        <f t="shared" si="9"/>
        <v/>
      </c>
      <c r="T81" s="12" t="str">
        <f t="shared" si="0"/>
        <v/>
      </c>
      <c r="U81" s="12" t="str">
        <f t="shared" si="17"/>
        <v>NO</v>
      </c>
      <c r="V81" s="14" t="str">
        <f t="shared" si="10"/>
        <v/>
      </c>
      <c r="W81" s="14" t="str">
        <f t="shared" si="11"/>
        <v/>
      </c>
      <c r="X81" s="14" t="str">
        <f t="shared" si="12"/>
        <v/>
      </c>
      <c r="Y81" s="15" t="str">
        <f t="shared" si="2"/>
        <v/>
      </c>
      <c r="Z81" s="342">
        <f t="shared" si="13"/>
        <v>0</v>
      </c>
      <c r="AA81" s="342">
        <f t="shared" si="14"/>
        <v>0</v>
      </c>
      <c r="AB81" s="342">
        <f t="shared" si="15"/>
        <v>0</v>
      </c>
      <c r="AC81" s="342">
        <f t="shared" si="16"/>
        <v>0</v>
      </c>
    </row>
    <row r="82" spans="1:29" ht="12.75" customHeight="1" x14ac:dyDescent="0.2">
      <c r="A82" s="71">
        <v>61</v>
      </c>
      <c r="B82" s="17"/>
      <c r="C82" s="17"/>
      <c r="D82" s="487"/>
      <c r="E82" s="487"/>
      <c r="F82" s="487"/>
      <c r="G82" s="487"/>
      <c r="H82" s="17"/>
      <c r="I82" s="492"/>
      <c r="J82" s="489" t="str">
        <f>IFERROR(VLOOKUP($Q82,FeeLookup!$J$5:$L$33,2,FALSE),"")</f>
        <v/>
      </c>
      <c r="K82" s="489" t="str">
        <f>IFERROR(VLOOKUP($Q82,FeeLookup!$J$5:$L$33,3,FALSE),"")</f>
        <v/>
      </c>
      <c r="L82" s="413" t="s">
        <v>29</v>
      </c>
      <c r="M82" s="414">
        <v>61</v>
      </c>
      <c r="N82" s="5">
        <f t="shared" si="4"/>
        <v>0</v>
      </c>
      <c r="O82" s="12" t="str">
        <f t="shared" si="5"/>
        <v>TEF</v>
      </c>
      <c r="P82" s="12" t="str">
        <f t="shared" si="6"/>
        <v/>
      </c>
      <c r="Q82" s="13" t="str">
        <f t="shared" si="7"/>
        <v>_TEF_</v>
      </c>
      <c r="R82" s="13" t="str">
        <f t="shared" si="8"/>
        <v/>
      </c>
      <c r="S82" s="12" t="str">
        <f t="shared" si="9"/>
        <v/>
      </c>
      <c r="T82" s="12" t="str">
        <f t="shared" si="0"/>
        <v/>
      </c>
      <c r="U82" s="12" t="str">
        <f t="shared" si="17"/>
        <v>NO</v>
      </c>
      <c r="V82" s="14" t="str">
        <f t="shared" si="10"/>
        <v/>
      </c>
      <c r="W82" s="14" t="str">
        <f t="shared" si="11"/>
        <v/>
      </c>
      <c r="X82" s="14" t="str">
        <f t="shared" si="12"/>
        <v/>
      </c>
      <c r="Y82" s="15" t="str">
        <f t="shared" si="2"/>
        <v/>
      </c>
      <c r="Z82" s="342">
        <f t="shared" si="13"/>
        <v>0</v>
      </c>
      <c r="AA82" s="342">
        <f t="shared" si="14"/>
        <v>0</v>
      </c>
      <c r="AB82" s="342">
        <f t="shared" si="15"/>
        <v>0</v>
      </c>
      <c r="AC82" s="342">
        <f t="shared" si="16"/>
        <v>0</v>
      </c>
    </row>
    <row r="83" spans="1:29" ht="12.75" customHeight="1" x14ac:dyDescent="0.2">
      <c r="A83" s="71">
        <v>62</v>
      </c>
      <c r="B83" s="17"/>
      <c r="C83" s="17"/>
      <c r="D83" s="487"/>
      <c r="E83" s="487"/>
      <c r="F83" s="487"/>
      <c r="G83" s="487"/>
      <c r="H83" s="17"/>
      <c r="I83" s="492"/>
      <c r="J83" s="489" t="str">
        <f>IFERROR(VLOOKUP($Q83,FeeLookup!$J$5:$L$33,2,FALSE),"")</f>
        <v/>
      </c>
      <c r="K83" s="489" t="str">
        <f>IFERROR(VLOOKUP($Q83,FeeLookup!$J$5:$L$33,3,FALSE),"")</f>
        <v/>
      </c>
      <c r="L83" s="413" t="s">
        <v>29</v>
      </c>
      <c r="M83" s="414">
        <v>62</v>
      </c>
      <c r="N83" s="5">
        <f t="shared" si="4"/>
        <v>0</v>
      </c>
      <c r="O83" s="12" t="str">
        <f t="shared" si="5"/>
        <v>TEF</v>
      </c>
      <c r="P83" s="12" t="str">
        <f t="shared" si="6"/>
        <v/>
      </c>
      <c r="Q83" s="13" t="str">
        <f t="shared" si="7"/>
        <v>_TEF_</v>
      </c>
      <c r="R83" s="13" t="str">
        <f t="shared" si="8"/>
        <v/>
      </c>
      <c r="S83" s="12" t="str">
        <f t="shared" si="9"/>
        <v/>
      </c>
      <c r="T83" s="12" t="str">
        <f t="shared" si="0"/>
        <v/>
      </c>
      <c r="U83" s="12" t="str">
        <f t="shared" si="17"/>
        <v>NO</v>
      </c>
      <c r="V83" s="14" t="str">
        <f t="shared" si="10"/>
        <v/>
      </c>
      <c r="W83" s="14" t="str">
        <f t="shared" si="11"/>
        <v/>
      </c>
      <c r="X83" s="14" t="str">
        <f t="shared" si="12"/>
        <v/>
      </c>
      <c r="Y83" s="15" t="str">
        <f t="shared" si="2"/>
        <v/>
      </c>
      <c r="Z83" s="342">
        <f t="shared" si="13"/>
        <v>0</v>
      </c>
      <c r="AA83" s="342">
        <f t="shared" si="14"/>
        <v>0</v>
      </c>
      <c r="AB83" s="342">
        <f t="shared" si="15"/>
        <v>0</v>
      </c>
      <c r="AC83" s="342">
        <f t="shared" si="16"/>
        <v>0</v>
      </c>
    </row>
    <row r="84" spans="1:29" ht="12.75" customHeight="1" x14ac:dyDescent="0.2">
      <c r="A84" s="71">
        <v>63</v>
      </c>
      <c r="B84" s="17"/>
      <c r="C84" s="17"/>
      <c r="D84" s="487"/>
      <c r="E84" s="487"/>
      <c r="F84" s="487"/>
      <c r="G84" s="487"/>
      <c r="H84" s="17"/>
      <c r="I84" s="492"/>
      <c r="J84" s="489" t="str">
        <f>IFERROR(VLOOKUP($Q84,FeeLookup!$J$5:$L$33,2,FALSE),"")</f>
        <v/>
      </c>
      <c r="K84" s="489" t="str">
        <f>IFERROR(VLOOKUP($Q84,FeeLookup!$J$5:$L$33,3,FALSE),"")</f>
        <v/>
      </c>
      <c r="L84" s="413" t="s">
        <v>29</v>
      </c>
      <c r="M84" s="414">
        <v>63</v>
      </c>
      <c r="N84" s="5">
        <f t="shared" si="4"/>
        <v>0</v>
      </c>
      <c r="O84" s="12" t="str">
        <f t="shared" si="5"/>
        <v>TEF</v>
      </c>
      <c r="P84" s="12" t="str">
        <f t="shared" si="6"/>
        <v/>
      </c>
      <c r="Q84" s="13" t="str">
        <f t="shared" si="7"/>
        <v>_TEF_</v>
      </c>
      <c r="R84" s="13" t="str">
        <f t="shared" si="8"/>
        <v/>
      </c>
      <c r="S84" s="12" t="str">
        <f t="shared" si="9"/>
        <v/>
      </c>
      <c r="T84" s="12" t="str">
        <f t="shared" si="0"/>
        <v/>
      </c>
      <c r="U84" s="12" t="str">
        <f t="shared" si="17"/>
        <v>NO</v>
      </c>
      <c r="V84" s="14" t="str">
        <f t="shared" si="10"/>
        <v/>
      </c>
      <c r="W84" s="14" t="str">
        <f t="shared" si="11"/>
        <v/>
      </c>
      <c r="X84" s="14" t="str">
        <f t="shared" si="12"/>
        <v/>
      </c>
      <c r="Y84" s="15" t="str">
        <f t="shared" si="2"/>
        <v/>
      </c>
      <c r="Z84" s="342">
        <f t="shared" si="13"/>
        <v>0</v>
      </c>
      <c r="AA84" s="342">
        <f t="shared" si="14"/>
        <v>0</v>
      </c>
      <c r="AB84" s="342">
        <f t="shared" si="15"/>
        <v>0</v>
      </c>
      <c r="AC84" s="342">
        <f t="shared" si="16"/>
        <v>0</v>
      </c>
    </row>
    <row r="85" spans="1:29" ht="12.75" customHeight="1" x14ac:dyDescent="0.2">
      <c r="A85" s="71">
        <v>64</v>
      </c>
      <c r="B85" s="17"/>
      <c r="C85" s="17"/>
      <c r="D85" s="487"/>
      <c r="E85" s="487"/>
      <c r="F85" s="487"/>
      <c r="G85" s="487"/>
      <c r="H85" s="17"/>
      <c r="I85" s="492"/>
      <c r="J85" s="489" t="str">
        <f>IFERROR(VLOOKUP($Q85,FeeLookup!$J$5:$L$33,2,FALSE),"")</f>
        <v/>
      </c>
      <c r="K85" s="489" t="str">
        <f>IFERROR(VLOOKUP($Q85,FeeLookup!$J$5:$L$33,3,FALSE),"")</f>
        <v/>
      </c>
      <c r="L85" s="413" t="s">
        <v>29</v>
      </c>
      <c r="M85" s="414">
        <v>64</v>
      </c>
      <c r="N85" s="5">
        <f t="shared" si="4"/>
        <v>0</v>
      </c>
      <c r="O85" s="12" t="str">
        <f t="shared" si="5"/>
        <v>TEF</v>
      </c>
      <c r="P85" s="12" t="str">
        <f t="shared" si="6"/>
        <v/>
      </c>
      <c r="Q85" s="13" t="str">
        <f t="shared" si="7"/>
        <v>_TEF_</v>
      </c>
      <c r="R85" s="13" t="str">
        <f t="shared" si="8"/>
        <v/>
      </c>
      <c r="S85" s="12" t="str">
        <f t="shared" si="9"/>
        <v/>
      </c>
      <c r="T85" s="12" t="str">
        <f t="shared" si="0"/>
        <v/>
      </c>
      <c r="U85" s="12" t="str">
        <f t="shared" si="17"/>
        <v>NO</v>
      </c>
      <c r="V85" s="14" t="str">
        <f t="shared" si="10"/>
        <v/>
      </c>
      <c r="W85" s="14" t="str">
        <f t="shared" si="11"/>
        <v/>
      </c>
      <c r="X85" s="14" t="str">
        <f t="shared" si="12"/>
        <v/>
      </c>
      <c r="Y85" s="15" t="str">
        <f t="shared" si="2"/>
        <v/>
      </c>
      <c r="Z85" s="342">
        <f t="shared" si="13"/>
        <v>0</v>
      </c>
      <c r="AA85" s="342">
        <f t="shared" si="14"/>
        <v>0</v>
      </c>
      <c r="AB85" s="342">
        <f t="shared" si="15"/>
        <v>0</v>
      </c>
      <c r="AC85" s="342">
        <f t="shared" si="16"/>
        <v>0</v>
      </c>
    </row>
    <row r="86" spans="1:29" ht="12.75" customHeight="1" x14ac:dyDescent="0.2">
      <c r="A86" s="71">
        <v>65</v>
      </c>
      <c r="B86" s="17"/>
      <c r="C86" s="17"/>
      <c r="D86" s="487"/>
      <c r="E86" s="487"/>
      <c r="F86" s="487"/>
      <c r="G86" s="487"/>
      <c r="H86" s="17"/>
      <c r="I86" s="492"/>
      <c r="J86" s="489" t="str">
        <f>IFERROR(VLOOKUP($Q86,FeeLookup!$J$5:$L$33,2,FALSE),"")</f>
        <v/>
      </c>
      <c r="K86" s="489" t="str">
        <f>IFERROR(VLOOKUP($Q86,FeeLookup!$J$5:$L$33,3,FALSE),"")</f>
        <v/>
      </c>
      <c r="L86" s="413" t="s">
        <v>29</v>
      </c>
      <c r="M86" s="414">
        <v>65</v>
      </c>
      <c r="N86" s="5">
        <f t="shared" si="4"/>
        <v>0</v>
      </c>
      <c r="O86" s="12" t="str">
        <f t="shared" si="5"/>
        <v>TEF</v>
      </c>
      <c r="P86" s="12" t="str">
        <f t="shared" si="6"/>
        <v/>
      </c>
      <c r="Q86" s="13" t="str">
        <f t="shared" si="7"/>
        <v>_TEF_</v>
      </c>
      <c r="R86" s="13" t="str">
        <f t="shared" si="8"/>
        <v/>
      </c>
      <c r="S86" s="12" t="str">
        <f t="shared" si="9"/>
        <v/>
      </c>
      <c r="T86" s="12" t="str">
        <f t="shared" ref="T86:T149" si="18">IF(I86="","",IF(I86&lt;J86,"BBFC",IF(I86&gt;K86,"AHFC","BBHFC")))</f>
        <v/>
      </c>
      <c r="U86" s="12" t="str">
        <f t="shared" ref="U86:U117" si="19">IF(COUNTBLANK(B86:I86)=8,"NO","YES")</f>
        <v>NO</v>
      </c>
      <c r="V86" s="14" t="str">
        <f t="shared" si="10"/>
        <v/>
      </c>
      <c r="W86" s="14" t="str">
        <f t="shared" si="11"/>
        <v/>
      </c>
      <c r="X86" s="14" t="str">
        <f t="shared" si="12"/>
        <v/>
      </c>
      <c r="Y86" s="15" t="str">
        <f t="shared" ref="Y86:Y149" si="20">IF(OR(I86="",V86=""),"",IF(I86-J86&lt;0,0,I86-J86))</f>
        <v/>
      </c>
      <c r="Z86" s="342">
        <f t="shared" si="13"/>
        <v>0</v>
      </c>
      <c r="AA86" s="342">
        <f t="shared" si="14"/>
        <v>0</v>
      </c>
      <c r="AB86" s="342">
        <f t="shared" si="15"/>
        <v>0</v>
      </c>
      <c r="AC86" s="342">
        <f t="shared" si="16"/>
        <v>0</v>
      </c>
    </row>
    <row r="87" spans="1:29" ht="12.75" customHeight="1" x14ac:dyDescent="0.2">
      <c r="A87" s="71">
        <v>66</v>
      </c>
      <c r="B87" s="17"/>
      <c r="C87" s="17"/>
      <c r="D87" s="487"/>
      <c r="E87" s="487"/>
      <c r="F87" s="487"/>
      <c r="G87" s="487"/>
      <c r="H87" s="17"/>
      <c r="I87" s="492"/>
      <c r="J87" s="489" t="str">
        <f>IFERROR(VLOOKUP($Q87,FeeLookup!$J$5:$L$33,2,FALSE),"")</f>
        <v/>
      </c>
      <c r="K87" s="489" t="str">
        <f>IFERROR(VLOOKUP($Q87,FeeLookup!$J$5:$L$33,3,FALSE),"")</f>
        <v/>
      </c>
      <c r="L87" s="413" t="s">
        <v>29</v>
      </c>
      <c r="M87" s="414">
        <v>66</v>
      </c>
      <c r="N87" s="5">
        <f t="shared" ref="N87:N150" si="21">VALUE(I87)</f>
        <v>0</v>
      </c>
      <c r="O87" s="12" t="str">
        <f t="shared" ref="O87:O150" si="22">IF($D$6="We hold or have applied for a TEF award for 2019-20.","TEF","No TEF")</f>
        <v>TEF</v>
      </c>
      <c r="P87" s="12" t="str">
        <f t="shared" ref="P87:P150" si="23">IF(B87="","",IF(B87="Erasmus and overseas study years","LOWER",IF(B87="Sandwich year","SAND",IF(B87="Accelerated Degree","ACCEL","FULL"))))</f>
        <v/>
      </c>
      <c r="Q87" s="13" t="str">
        <f t="shared" ref="Q87:Q150" si="24">CONCATENATE(P87,IF(O87="No TEF","_NO_TEF_",IF(O87="TEF","_TEF_","")))</f>
        <v>_TEF_</v>
      </c>
      <c r="R87" s="13" t="str">
        <f t="shared" ref="R87:R150" si="25">IF(J87="","",IF(I87="","0",I87))</f>
        <v/>
      </c>
      <c r="S87" s="12" t="str">
        <f t="shared" ref="S87:S150" si="26">IF(J87="","",IF((R87-J87)&gt;0,"YES","NO"))</f>
        <v/>
      </c>
      <c r="T87" s="12" t="str">
        <f t="shared" si="18"/>
        <v/>
      </c>
      <c r="U87" s="12" t="str">
        <f t="shared" si="19"/>
        <v>NO</v>
      </c>
      <c r="V87" s="14" t="str">
        <f t="shared" ref="V87:V150" si="27">IF(U87="NO","",IF(AND((COUNTBLANK(B87:B87)=0),COUNTBLANK(I87)=0,COUNTBLANK(H87)=0,COUNTBLANK(D87:G87)&lt;&gt;4),"YES","NO"))</f>
        <v/>
      </c>
      <c r="W87" s="14" t="str">
        <f t="shared" ref="W87:W150" si="28">IF(U87="NO","",IF(SUM(D87:G87)&gt;0,"YES","NO"))</f>
        <v/>
      </c>
      <c r="X87" s="14" t="str">
        <f t="shared" ref="X87:X150" si="29">IF(OR(V87="NO",W87="NO",T87="AHFC"),"FLAG","")</f>
        <v/>
      </c>
      <c r="Y87" s="15" t="str">
        <f t="shared" si="20"/>
        <v/>
      </c>
      <c r="Z87" s="342">
        <f t="shared" ref="Z87:Z150" si="30">IF(IF(ISERROR(I87-J87)=TRUE,0,I87-J87)&gt;0,D87,0)</f>
        <v>0</v>
      </c>
      <c r="AA87" s="342">
        <f t="shared" si="14"/>
        <v>0</v>
      </c>
      <c r="AB87" s="342">
        <f t="shared" si="15"/>
        <v>0</v>
      </c>
      <c r="AC87" s="342">
        <f t="shared" si="16"/>
        <v>0</v>
      </c>
    </row>
    <row r="88" spans="1:29" ht="12.75" customHeight="1" x14ac:dyDescent="0.2">
      <c r="A88" s="71">
        <v>67</v>
      </c>
      <c r="B88" s="17"/>
      <c r="C88" s="17"/>
      <c r="D88" s="487"/>
      <c r="E88" s="487"/>
      <c r="F88" s="487"/>
      <c r="G88" s="487"/>
      <c r="H88" s="17"/>
      <c r="I88" s="492"/>
      <c r="J88" s="489" t="str">
        <f>IFERROR(VLOOKUP($Q88,FeeLookup!$J$5:$L$33,2,FALSE),"")</f>
        <v/>
      </c>
      <c r="K88" s="489" t="str">
        <f>IFERROR(VLOOKUP($Q88,FeeLookup!$J$5:$L$33,3,FALSE),"")</f>
        <v/>
      </c>
      <c r="L88" s="413" t="s">
        <v>29</v>
      </c>
      <c r="M88" s="414">
        <v>67</v>
      </c>
      <c r="N88" s="5">
        <f t="shared" si="21"/>
        <v>0</v>
      </c>
      <c r="O88" s="12" t="str">
        <f t="shared" si="22"/>
        <v>TEF</v>
      </c>
      <c r="P88" s="12" t="str">
        <f t="shared" si="23"/>
        <v/>
      </c>
      <c r="Q88" s="13" t="str">
        <f t="shared" si="24"/>
        <v>_TEF_</v>
      </c>
      <c r="R88" s="13" t="str">
        <f t="shared" si="25"/>
        <v/>
      </c>
      <c r="S88" s="12" t="str">
        <f t="shared" si="26"/>
        <v/>
      </c>
      <c r="T88" s="12" t="str">
        <f t="shared" si="18"/>
        <v/>
      </c>
      <c r="U88" s="12" t="str">
        <f t="shared" si="19"/>
        <v>NO</v>
      </c>
      <c r="V88" s="14" t="str">
        <f t="shared" si="27"/>
        <v/>
      </c>
      <c r="W88" s="14" t="str">
        <f t="shared" si="28"/>
        <v/>
      </c>
      <c r="X88" s="14" t="str">
        <f t="shared" si="29"/>
        <v/>
      </c>
      <c r="Y88" s="15" t="str">
        <f t="shared" si="20"/>
        <v/>
      </c>
      <c r="Z88" s="342">
        <f t="shared" si="30"/>
        <v>0</v>
      </c>
      <c r="AA88" s="342">
        <f t="shared" si="14"/>
        <v>0</v>
      </c>
      <c r="AB88" s="342">
        <f t="shared" si="15"/>
        <v>0</v>
      </c>
      <c r="AC88" s="342">
        <f t="shared" si="16"/>
        <v>0</v>
      </c>
    </row>
    <row r="89" spans="1:29" ht="12.75" customHeight="1" x14ac:dyDescent="0.2">
      <c r="A89" s="71">
        <v>68</v>
      </c>
      <c r="B89" s="17"/>
      <c r="C89" s="17"/>
      <c r="D89" s="487"/>
      <c r="E89" s="487"/>
      <c r="F89" s="487"/>
      <c r="G89" s="487"/>
      <c r="H89" s="17"/>
      <c r="I89" s="492"/>
      <c r="J89" s="489" t="str">
        <f>IFERROR(VLOOKUP($Q89,FeeLookup!$J$5:$L$33,2,FALSE),"")</f>
        <v/>
      </c>
      <c r="K89" s="489" t="str">
        <f>IFERROR(VLOOKUP($Q89,FeeLookup!$J$5:$L$33,3,FALSE),"")</f>
        <v/>
      </c>
      <c r="L89" s="413" t="s">
        <v>29</v>
      </c>
      <c r="M89" s="414">
        <v>68</v>
      </c>
      <c r="N89" s="5">
        <f t="shared" si="21"/>
        <v>0</v>
      </c>
      <c r="O89" s="12" t="str">
        <f t="shared" si="22"/>
        <v>TEF</v>
      </c>
      <c r="P89" s="12" t="str">
        <f t="shared" si="23"/>
        <v/>
      </c>
      <c r="Q89" s="13" t="str">
        <f t="shared" si="24"/>
        <v>_TEF_</v>
      </c>
      <c r="R89" s="13" t="str">
        <f t="shared" si="25"/>
        <v/>
      </c>
      <c r="S89" s="12" t="str">
        <f t="shared" si="26"/>
        <v/>
      </c>
      <c r="T89" s="12" t="str">
        <f t="shared" si="18"/>
        <v/>
      </c>
      <c r="U89" s="12" t="str">
        <f t="shared" si="19"/>
        <v>NO</v>
      </c>
      <c r="V89" s="14" t="str">
        <f t="shared" si="27"/>
        <v/>
      </c>
      <c r="W89" s="14" t="str">
        <f t="shared" si="28"/>
        <v/>
      </c>
      <c r="X89" s="14" t="str">
        <f t="shared" si="29"/>
        <v/>
      </c>
      <c r="Y89" s="15" t="str">
        <f t="shared" si="20"/>
        <v/>
      </c>
      <c r="Z89" s="342">
        <f t="shared" si="30"/>
        <v>0</v>
      </c>
      <c r="AA89" s="342">
        <f t="shared" si="14"/>
        <v>0</v>
      </c>
      <c r="AB89" s="342">
        <f t="shared" si="15"/>
        <v>0</v>
      </c>
      <c r="AC89" s="342">
        <f t="shared" si="16"/>
        <v>0</v>
      </c>
    </row>
    <row r="90" spans="1:29" ht="12.75" customHeight="1" x14ac:dyDescent="0.2">
      <c r="A90" s="71">
        <v>69</v>
      </c>
      <c r="B90" s="17"/>
      <c r="C90" s="17"/>
      <c r="D90" s="487"/>
      <c r="E90" s="487"/>
      <c r="F90" s="487"/>
      <c r="G90" s="487"/>
      <c r="H90" s="17"/>
      <c r="I90" s="492"/>
      <c r="J90" s="489" t="str">
        <f>IFERROR(VLOOKUP($Q90,FeeLookup!$J$5:$L$33,2,FALSE),"")</f>
        <v/>
      </c>
      <c r="K90" s="489" t="str">
        <f>IFERROR(VLOOKUP($Q90,FeeLookup!$J$5:$L$33,3,FALSE),"")</f>
        <v/>
      </c>
      <c r="L90" s="413" t="s">
        <v>29</v>
      </c>
      <c r="M90" s="414">
        <v>69</v>
      </c>
      <c r="N90" s="5">
        <f t="shared" si="21"/>
        <v>0</v>
      </c>
      <c r="O90" s="12" t="str">
        <f t="shared" si="22"/>
        <v>TEF</v>
      </c>
      <c r="P90" s="12" t="str">
        <f t="shared" si="23"/>
        <v/>
      </c>
      <c r="Q90" s="13" t="str">
        <f t="shared" si="24"/>
        <v>_TEF_</v>
      </c>
      <c r="R90" s="13" t="str">
        <f t="shared" si="25"/>
        <v/>
      </c>
      <c r="S90" s="12" t="str">
        <f t="shared" si="26"/>
        <v/>
      </c>
      <c r="T90" s="12" t="str">
        <f t="shared" si="18"/>
        <v/>
      </c>
      <c r="U90" s="12" t="str">
        <f t="shared" si="19"/>
        <v>NO</v>
      </c>
      <c r="V90" s="14" t="str">
        <f t="shared" si="27"/>
        <v/>
      </c>
      <c r="W90" s="14" t="str">
        <f t="shared" si="28"/>
        <v/>
      </c>
      <c r="X90" s="14" t="str">
        <f t="shared" si="29"/>
        <v/>
      </c>
      <c r="Y90" s="15" t="str">
        <f t="shared" si="20"/>
        <v/>
      </c>
      <c r="Z90" s="342">
        <f t="shared" si="30"/>
        <v>0</v>
      </c>
      <c r="AA90" s="342">
        <f t="shared" si="14"/>
        <v>0</v>
      </c>
      <c r="AB90" s="342">
        <f t="shared" si="15"/>
        <v>0</v>
      </c>
      <c r="AC90" s="342">
        <f t="shared" si="16"/>
        <v>0</v>
      </c>
    </row>
    <row r="91" spans="1:29" ht="12.75" customHeight="1" x14ac:dyDescent="0.2">
      <c r="A91" s="71">
        <v>70</v>
      </c>
      <c r="B91" s="17"/>
      <c r="C91" s="17"/>
      <c r="D91" s="487"/>
      <c r="E91" s="487"/>
      <c r="F91" s="487"/>
      <c r="G91" s="487"/>
      <c r="H91" s="17"/>
      <c r="I91" s="492"/>
      <c r="J91" s="489" t="str">
        <f>IFERROR(VLOOKUP($Q91,FeeLookup!$J$5:$L$33,2,FALSE),"")</f>
        <v/>
      </c>
      <c r="K91" s="489" t="str">
        <f>IFERROR(VLOOKUP($Q91,FeeLookup!$J$5:$L$33,3,FALSE),"")</f>
        <v/>
      </c>
      <c r="L91" s="413" t="s">
        <v>29</v>
      </c>
      <c r="M91" s="414">
        <v>70</v>
      </c>
      <c r="N91" s="5">
        <f t="shared" si="21"/>
        <v>0</v>
      </c>
      <c r="O91" s="12" t="str">
        <f t="shared" si="22"/>
        <v>TEF</v>
      </c>
      <c r="P91" s="12" t="str">
        <f t="shared" si="23"/>
        <v/>
      </c>
      <c r="Q91" s="13" t="str">
        <f t="shared" si="24"/>
        <v>_TEF_</v>
      </c>
      <c r="R91" s="13" t="str">
        <f t="shared" si="25"/>
        <v/>
      </c>
      <c r="S91" s="12" t="str">
        <f t="shared" si="26"/>
        <v/>
      </c>
      <c r="T91" s="12" t="str">
        <f t="shared" si="18"/>
        <v/>
      </c>
      <c r="U91" s="12" t="str">
        <f t="shared" si="19"/>
        <v>NO</v>
      </c>
      <c r="V91" s="14" t="str">
        <f t="shared" si="27"/>
        <v/>
      </c>
      <c r="W91" s="14" t="str">
        <f t="shared" si="28"/>
        <v/>
      </c>
      <c r="X91" s="14" t="str">
        <f t="shared" si="29"/>
        <v/>
      </c>
      <c r="Y91" s="15" t="str">
        <f t="shared" si="20"/>
        <v/>
      </c>
      <c r="Z91" s="342">
        <f t="shared" si="30"/>
        <v>0</v>
      </c>
      <c r="AA91" s="342">
        <f t="shared" si="14"/>
        <v>0</v>
      </c>
      <c r="AB91" s="342">
        <f t="shared" si="15"/>
        <v>0</v>
      </c>
      <c r="AC91" s="342">
        <f t="shared" si="16"/>
        <v>0</v>
      </c>
    </row>
    <row r="92" spans="1:29" ht="12.75" customHeight="1" x14ac:dyDescent="0.2">
      <c r="A92" s="71">
        <v>71</v>
      </c>
      <c r="B92" s="17"/>
      <c r="C92" s="17"/>
      <c r="D92" s="487"/>
      <c r="E92" s="487"/>
      <c r="F92" s="487"/>
      <c r="G92" s="487"/>
      <c r="H92" s="17"/>
      <c r="I92" s="492"/>
      <c r="J92" s="489" t="str">
        <f>IFERROR(VLOOKUP($Q92,FeeLookup!$J$5:$L$33,2,FALSE),"")</f>
        <v/>
      </c>
      <c r="K92" s="489" t="str">
        <f>IFERROR(VLOOKUP($Q92,FeeLookup!$J$5:$L$33,3,FALSE),"")</f>
        <v/>
      </c>
      <c r="L92" s="413" t="s">
        <v>29</v>
      </c>
      <c r="M92" s="414">
        <v>71</v>
      </c>
      <c r="N92" s="5">
        <f t="shared" si="21"/>
        <v>0</v>
      </c>
      <c r="O92" s="12" t="str">
        <f t="shared" si="22"/>
        <v>TEF</v>
      </c>
      <c r="P92" s="12" t="str">
        <f t="shared" si="23"/>
        <v/>
      </c>
      <c r="Q92" s="13" t="str">
        <f t="shared" si="24"/>
        <v>_TEF_</v>
      </c>
      <c r="R92" s="13" t="str">
        <f t="shared" si="25"/>
        <v/>
      </c>
      <c r="S92" s="12" t="str">
        <f t="shared" si="26"/>
        <v/>
      </c>
      <c r="T92" s="12" t="str">
        <f t="shared" si="18"/>
        <v/>
      </c>
      <c r="U92" s="12" t="str">
        <f t="shared" si="19"/>
        <v>NO</v>
      </c>
      <c r="V92" s="14" t="str">
        <f t="shared" si="27"/>
        <v/>
      </c>
      <c r="W92" s="14" t="str">
        <f t="shared" si="28"/>
        <v/>
      </c>
      <c r="X92" s="14" t="str">
        <f t="shared" si="29"/>
        <v/>
      </c>
      <c r="Y92" s="15" t="str">
        <f t="shared" si="20"/>
        <v/>
      </c>
      <c r="Z92" s="342">
        <f t="shared" si="30"/>
        <v>0</v>
      </c>
      <c r="AA92" s="342">
        <f t="shared" si="14"/>
        <v>0</v>
      </c>
      <c r="AB92" s="342">
        <f t="shared" si="15"/>
        <v>0</v>
      </c>
      <c r="AC92" s="342">
        <f t="shared" si="16"/>
        <v>0</v>
      </c>
    </row>
    <row r="93" spans="1:29" ht="12.75" customHeight="1" x14ac:dyDescent="0.2">
      <c r="A93" s="71">
        <v>72</v>
      </c>
      <c r="B93" s="17"/>
      <c r="C93" s="17"/>
      <c r="D93" s="487"/>
      <c r="E93" s="487"/>
      <c r="F93" s="487"/>
      <c r="G93" s="487"/>
      <c r="H93" s="17"/>
      <c r="I93" s="492"/>
      <c r="J93" s="489" t="str">
        <f>IFERROR(VLOOKUP($Q93,FeeLookup!$J$5:$L$33,2,FALSE),"")</f>
        <v/>
      </c>
      <c r="K93" s="489" t="str">
        <f>IFERROR(VLOOKUP($Q93,FeeLookup!$J$5:$L$33,3,FALSE),"")</f>
        <v/>
      </c>
      <c r="L93" s="413" t="s">
        <v>29</v>
      </c>
      <c r="M93" s="414">
        <v>72</v>
      </c>
      <c r="N93" s="5">
        <f t="shared" si="21"/>
        <v>0</v>
      </c>
      <c r="O93" s="12" t="str">
        <f t="shared" si="22"/>
        <v>TEF</v>
      </c>
      <c r="P93" s="12" t="str">
        <f t="shared" si="23"/>
        <v/>
      </c>
      <c r="Q93" s="13" t="str">
        <f t="shared" si="24"/>
        <v>_TEF_</v>
      </c>
      <c r="R93" s="13" t="str">
        <f t="shared" si="25"/>
        <v/>
      </c>
      <c r="S93" s="12" t="str">
        <f t="shared" si="26"/>
        <v/>
      </c>
      <c r="T93" s="12" t="str">
        <f t="shared" si="18"/>
        <v/>
      </c>
      <c r="U93" s="12" t="str">
        <f t="shared" si="19"/>
        <v>NO</v>
      </c>
      <c r="V93" s="14" t="str">
        <f t="shared" si="27"/>
        <v/>
      </c>
      <c r="W93" s="14" t="str">
        <f t="shared" si="28"/>
        <v/>
      </c>
      <c r="X93" s="14" t="str">
        <f t="shared" si="29"/>
        <v/>
      </c>
      <c r="Y93" s="15" t="str">
        <f t="shared" si="20"/>
        <v/>
      </c>
      <c r="Z93" s="342">
        <f t="shared" si="30"/>
        <v>0</v>
      </c>
      <c r="AA93" s="342">
        <f t="shared" si="14"/>
        <v>0</v>
      </c>
      <c r="AB93" s="342">
        <f t="shared" si="15"/>
        <v>0</v>
      </c>
      <c r="AC93" s="342">
        <f t="shared" si="16"/>
        <v>0</v>
      </c>
    </row>
    <row r="94" spans="1:29" ht="12.75" customHeight="1" x14ac:dyDescent="0.2">
      <c r="A94" s="71">
        <v>73</v>
      </c>
      <c r="B94" s="17"/>
      <c r="C94" s="17"/>
      <c r="D94" s="487"/>
      <c r="E94" s="487"/>
      <c r="F94" s="487"/>
      <c r="G94" s="487"/>
      <c r="H94" s="17"/>
      <c r="I94" s="492"/>
      <c r="J94" s="489" t="str">
        <f>IFERROR(VLOOKUP($Q94,FeeLookup!$J$5:$L$33,2,FALSE),"")</f>
        <v/>
      </c>
      <c r="K94" s="489" t="str">
        <f>IFERROR(VLOOKUP($Q94,FeeLookup!$J$5:$L$33,3,FALSE),"")</f>
        <v/>
      </c>
      <c r="L94" s="413" t="s">
        <v>29</v>
      </c>
      <c r="M94" s="414">
        <v>73</v>
      </c>
      <c r="N94" s="5">
        <f t="shared" si="21"/>
        <v>0</v>
      </c>
      <c r="O94" s="12" t="str">
        <f t="shared" si="22"/>
        <v>TEF</v>
      </c>
      <c r="P94" s="12" t="str">
        <f t="shared" si="23"/>
        <v/>
      </c>
      <c r="Q94" s="13" t="str">
        <f t="shared" si="24"/>
        <v>_TEF_</v>
      </c>
      <c r="R94" s="13" t="str">
        <f t="shared" si="25"/>
        <v/>
      </c>
      <c r="S94" s="12" t="str">
        <f t="shared" si="26"/>
        <v/>
      </c>
      <c r="T94" s="12" t="str">
        <f t="shared" si="18"/>
        <v/>
      </c>
      <c r="U94" s="12" t="str">
        <f t="shared" si="19"/>
        <v>NO</v>
      </c>
      <c r="V94" s="14" t="str">
        <f t="shared" si="27"/>
        <v/>
      </c>
      <c r="W94" s="14" t="str">
        <f t="shared" si="28"/>
        <v/>
      </c>
      <c r="X94" s="14" t="str">
        <f t="shared" si="29"/>
        <v/>
      </c>
      <c r="Y94" s="15" t="str">
        <f t="shared" si="20"/>
        <v/>
      </c>
      <c r="Z94" s="342">
        <f t="shared" si="30"/>
        <v>0</v>
      </c>
      <c r="AA94" s="342">
        <f t="shared" si="14"/>
        <v>0</v>
      </c>
      <c r="AB94" s="342">
        <f t="shared" si="15"/>
        <v>0</v>
      </c>
      <c r="AC94" s="342">
        <f t="shared" si="16"/>
        <v>0</v>
      </c>
    </row>
    <row r="95" spans="1:29" ht="12.75" customHeight="1" x14ac:dyDescent="0.2">
      <c r="A95" s="71">
        <v>74</v>
      </c>
      <c r="B95" s="17"/>
      <c r="C95" s="17"/>
      <c r="D95" s="487"/>
      <c r="E95" s="487"/>
      <c r="F95" s="487"/>
      <c r="G95" s="487"/>
      <c r="H95" s="17"/>
      <c r="I95" s="492"/>
      <c r="J95" s="489" t="str">
        <f>IFERROR(VLOOKUP($Q95,FeeLookup!$J$5:$L$33,2,FALSE),"")</f>
        <v/>
      </c>
      <c r="K95" s="489" t="str">
        <f>IFERROR(VLOOKUP($Q95,FeeLookup!$J$5:$L$33,3,FALSE),"")</f>
        <v/>
      </c>
      <c r="L95" s="413" t="s">
        <v>29</v>
      </c>
      <c r="M95" s="414">
        <v>74</v>
      </c>
      <c r="N95" s="5">
        <f t="shared" si="21"/>
        <v>0</v>
      </c>
      <c r="O95" s="12" t="str">
        <f t="shared" si="22"/>
        <v>TEF</v>
      </c>
      <c r="P95" s="12" t="str">
        <f t="shared" si="23"/>
        <v/>
      </c>
      <c r="Q95" s="13" t="str">
        <f t="shared" si="24"/>
        <v>_TEF_</v>
      </c>
      <c r="R95" s="13" t="str">
        <f t="shared" si="25"/>
        <v/>
      </c>
      <c r="S95" s="12" t="str">
        <f t="shared" si="26"/>
        <v/>
      </c>
      <c r="T95" s="12" t="str">
        <f t="shared" si="18"/>
        <v/>
      </c>
      <c r="U95" s="12" t="str">
        <f t="shared" si="19"/>
        <v>NO</v>
      </c>
      <c r="V95" s="14" t="str">
        <f t="shared" si="27"/>
        <v/>
      </c>
      <c r="W95" s="14" t="str">
        <f t="shared" si="28"/>
        <v/>
      </c>
      <c r="X95" s="14" t="str">
        <f t="shared" si="29"/>
        <v/>
      </c>
      <c r="Y95" s="15" t="str">
        <f t="shared" si="20"/>
        <v/>
      </c>
      <c r="Z95" s="342">
        <f t="shared" si="30"/>
        <v>0</v>
      </c>
      <c r="AA95" s="342">
        <f t="shared" si="14"/>
        <v>0</v>
      </c>
      <c r="AB95" s="342">
        <f t="shared" si="15"/>
        <v>0</v>
      </c>
      <c r="AC95" s="342">
        <f t="shared" si="16"/>
        <v>0</v>
      </c>
    </row>
    <row r="96" spans="1:29" ht="12.75" customHeight="1" x14ac:dyDescent="0.2">
      <c r="A96" s="71">
        <v>75</v>
      </c>
      <c r="B96" s="17"/>
      <c r="C96" s="17"/>
      <c r="D96" s="487"/>
      <c r="E96" s="487"/>
      <c r="F96" s="487"/>
      <c r="G96" s="487"/>
      <c r="H96" s="17"/>
      <c r="I96" s="492"/>
      <c r="J96" s="489" t="str">
        <f>IFERROR(VLOOKUP($Q96,FeeLookup!$J$5:$L$33,2,FALSE),"")</f>
        <v/>
      </c>
      <c r="K96" s="489" t="str">
        <f>IFERROR(VLOOKUP($Q96,FeeLookup!$J$5:$L$33,3,FALSE),"")</f>
        <v/>
      </c>
      <c r="L96" s="413" t="s">
        <v>29</v>
      </c>
      <c r="M96" s="414">
        <v>75</v>
      </c>
      <c r="N96" s="5">
        <f t="shared" si="21"/>
        <v>0</v>
      </c>
      <c r="O96" s="12" t="str">
        <f t="shared" si="22"/>
        <v>TEF</v>
      </c>
      <c r="P96" s="12" t="str">
        <f t="shared" si="23"/>
        <v/>
      </c>
      <c r="Q96" s="13" t="str">
        <f t="shared" si="24"/>
        <v>_TEF_</v>
      </c>
      <c r="R96" s="13" t="str">
        <f t="shared" si="25"/>
        <v/>
      </c>
      <c r="S96" s="12" t="str">
        <f t="shared" si="26"/>
        <v/>
      </c>
      <c r="T96" s="12" t="str">
        <f t="shared" si="18"/>
        <v/>
      </c>
      <c r="U96" s="12" t="str">
        <f t="shared" si="19"/>
        <v>NO</v>
      </c>
      <c r="V96" s="14" t="str">
        <f t="shared" si="27"/>
        <v/>
      </c>
      <c r="W96" s="14" t="str">
        <f t="shared" si="28"/>
        <v/>
      </c>
      <c r="X96" s="14" t="str">
        <f t="shared" si="29"/>
        <v/>
      </c>
      <c r="Y96" s="15" t="str">
        <f t="shared" si="20"/>
        <v/>
      </c>
      <c r="Z96" s="342">
        <f t="shared" si="30"/>
        <v>0</v>
      </c>
      <c r="AA96" s="342">
        <f t="shared" si="14"/>
        <v>0</v>
      </c>
      <c r="AB96" s="342">
        <f t="shared" si="15"/>
        <v>0</v>
      </c>
      <c r="AC96" s="342">
        <f t="shared" si="16"/>
        <v>0</v>
      </c>
    </row>
    <row r="97" spans="1:29" ht="12.75" customHeight="1" x14ac:dyDescent="0.2">
      <c r="A97" s="71">
        <v>76</v>
      </c>
      <c r="B97" s="17"/>
      <c r="C97" s="17"/>
      <c r="D97" s="487"/>
      <c r="E97" s="487"/>
      <c r="F97" s="487"/>
      <c r="G97" s="487"/>
      <c r="H97" s="17"/>
      <c r="I97" s="492"/>
      <c r="J97" s="489" t="str">
        <f>IFERROR(VLOOKUP($Q97,FeeLookup!$J$5:$L$33,2,FALSE),"")</f>
        <v/>
      </c>
      <c r="K97" s="489" t="str">
        <f>IFERROR(VLOOKUP($Q97,FeeLookup!$J$5:$L$33,3,FALSE),"")</f>
        <v/>
      </c>
      <c r="L97" s="413" t="s">
        <v>29</v>
      </c>
      <c r="M97" s="414">
        <v>76</v>
      </c>
      <c r="N97" s="5">
        <f t="shared" si="21"/>
        <v>0</v>
      </c>
      <c r="O97" s="12" t="str">
        <f t="shared" si="22"/>
        <v>TEF</v>
      </c>
      <c r="P97" s="12" t="str">
        <f t="shared" si="23"/>
        <v/>
      </c>
      <c r="Q97" s="13" t="str">
        <f t="shared" si="24"/>
        <v>_TEF_</v>
      </c>
      <c r="R97" s="13" t="str">
        <f t="shared" si="25"/>
        <v/>
      </c>
      <c r="S97" s="12" t="str">
        <f t="shared" si="26"/>
        <v/>
      </c>
      <c r="T97" s="12" t="str">
        <f t="shared" si="18"/>
        <v/>
      </c>
      <c r="U97" s="12" t="str">
        <f t="shared" si="19"/>
        <v>NO</v>
      </c>
      <c r="V97" s="14" t="str">
        <f t="shared" si="27"/>
        <v/>
      </c>
      <c r="W97" s="14" t="str">
        <f t="shared" si="28"/>
        <v/>
      </c>
      <c r="X97" s="14" t="str">
        <f t="shared" si="29"/>
        <v/>
      </c>
      <c r="Y97" s="15" t="str">
        <f t="shared" si="20"/>
        <v/>
      </c>
      <c r="Z97" s="342">
        <f t="shared" si="30"/>
        <v>0</v>
      </c>
      <c r="AA97" s="342">
        <f t="shared" si="14"/>
        <v>0</v>
      </c>
      <c r="AB97" s="342">
        <f t="shared" si="15"/>
        <v>0</v>
      </c>
      <c r="AC97" s="342">
        <f t="shared" si="16"/>
        <v>0</v>
      </c>
    </row>
    <row r="98" spans="1:29" ht="12.75" customHeight="1" x14ac:dyDescent="0.2">
      <c r="A98" s="71">
        <v>77</v>
      </c>
      <c r="B98" s="17"/>
      <c r="C98" s="17"/>
      <c r="D98" s="487"/>
      <c r="E98" s="487"/>
      <c r="F98" s="487"/>
      <c r="G98" s="487"/>
      <c r="H98" s="17"/>
      <c r="I98" s="492"/>
      <c r="J98" s="489" t="str">
        <f>IFERROR(VLOOKUP($Q98,FeeLookup!$J$5:$L$33,2,FALSE),"")</f>
        <v/>
      </c>
      <c r="K98" s="489" t="str">
        <f>IFERROR(VLOOKUP($Q98,FeeLookup!$J$5:$L$33,3,FALSE),"")</f>
        <v/>
      </c>
      <c r="L98" s="413" t="s">
        <v>29</v>
      </c>
      <c r="M98" s="414">
        <v>77</v>
      </c>
      <c r="N98" s="5">
        <f t="shared" si="21"/>
        <v>0</v>
      </c>
      <c r="O98" s="12" t="str">
        <f t="shared" si="22"/>
        <v>TEF</v>
      </c>
      <c r="P98" s="12" t="str">
        <f t="shared" si="23"/>
        <v/>
      </c>
      <c r="Q98" s="13" t="str">
        <f t="shared" si="24"/>
        <v>_TEF_</v>
      </c>
      <c r="R98" s="13" t="str">
        <f t="shared" si="25"/>
        <v/>
      </c>
      <c r="S98" s="12" t="str">
        <f t="shared" si="26"/>
        <v/>
      </c>
      <c r="T98" s="12" t="str">
        <f t="shared" si="18"/>
        <v/>
      </c>
      <c r="U98" s="12" t="str">
        <f t="shared" si="19"/>
        <v>NO</v>
      </c>
      <c r="V98" s="14" t="str">
        <f t="shared" si="27"/>
        <v/>
      </c>
      <c r="W98" s="14" t="str">
        <f t="shared" si="28"/>
        <v/>
      </c>
      <c r="X98" s="14" t="str">
        <f t="shared" si="29"/>
        <v/>
      </c>
      <c r="Y98" s="15" t="str">
        <f t="shared" si="20"/>
        <v/>
      </c>
      <c r="Z98" s="342">
        <f t="shared" si="30"/>
        <v>0</v>
      </c>
      <c r="AA98" s="342">
        <f t="shared" si="14"/>
        <v>0</v>
      </c>
      <c r="AB98" s="342">
        <f t="shared" si="15"/>
        <v>0</v>
      </c>
      <c r="AC98" s="342">
        <f t="shared" si="16"/>
        <v>0</v>
      </c>
    </row>
    <row r="99" spans="1:29" ht="12.75" customHeight="1" x14ac:dyDescent="0.2">
      <c r="A99" s="71">
        <v>78</v>
      </c>
      <c r="B99" s="17"/>
      <c r="C99" s="17"/>
      <c r="D99" s="487"/>
      <c r="E99" s="487"/>
      <c r="F99" s="487"/>
      <c r="G99" s="487"/>
      <c r="H99" s="17"/>
      <c r="I99" s="492"/>
      <c r="J99" s="489" t="str">
        <f>IFERROR(VLOOKUP($Q99,FeeLookup!$J$5:$L$33,2,FALSE),"")</f>
        <v/>
      </c>
      <c r="K99" s="489" t="str">
        <f>IFERROR(VLOOKUP($Q99,FeeLookup!$J$5:$L$33,3,FALSE),"")</f>
        <v/>
      </c>
      <c r="L99" s="413" t="s">
        <v>29</v>
      </c>
      <c r="M99" s="414">
        <v>78</v>
      </c>
      <c r="N99" s="5">
        <f t="shared" si="21"/>
        <v>0</v>
      </c>
      <c r="O99" s="12" t="str">
        <f t="shared" si="22"/>
        <v>TEF</v>
      </c>
      <c r="P99" s="12" t="str">
        <f t="shared" si="23"/>
        <v/>
      </c>
      <c r="Q99" s="13" t="str">
        <f t="shared" si="24"/>
        <v>_TEF_</v>
      </c>
      <c r="R99" s="13" t="str">
        <f t="shared" si="25"/>
        <v/>
      </c>
      <c r="S99" s="12" t="str">
        <f t="shared" si="26"/>
        <v/>
      </c>
      <c r="T99" s="12" t="str">
        <f t="shared" si="18"/>
        <v/>
      </c>
      <c r="U99" s="12" t="str">
        <f t="shared" si="19"/>
        <v>NO</v>
      </c>
      <c r="V99" s="14" t="str">
        <f t="shared" si="27"/>
        <v/>
      </c>
      <c r="W99" s="14" t="str">
        <f t="shared" si="28"/>
        <v/>
      </c>
      <c r="X99" s="14" t="str">
        <f t="shared" si="29"/>
        <v/>
      </c>
      <c r="Y99" s="15" t="str">
        <f t="shared" si="20"/>
        <v/>
      </c>
      <c r="Z99" s="342">
        <f t="shared" si="30"/>
        <v>0</v>
      </c>
      <c r="AA99" s="342">
        <f t="shared" si="14"/>
        <v>0</v>
      </c>
      <c r="AB99" s="342">
        <f t="shared" si="15"/>
        <v>0</v>
      </c>
      <c r="AC99" s="342">
        <f t="shared" si="16"/>
        <v>0</v>
      </c>
    </row>
    <row r="100" spans="1:29" ht="12.75" customHeight="1" x14ac:dyDescent="0.2">
      <c r="A100" s="71">
        <v>79</v>
      </c>
      <c r="B100" s="17"/>
      <c r="C100" s="17"/>
      <c r="D100" s="487"/>
      <c r="E100" s="487"/>
      <c r="F100" s="487"/>
      <c r="G100" s="487"/>
      <c r="H100" s="17"/>
      <c r="I100" s="492"/>
      <c r="J100" s="489" t="str">
        <f>IFERROR(VLOOKUP($Q100,FeeLookup!$J$5:$L$33,2,FALSE),"")</f>
        <v/>
      </c>
      <c r="K100" s="489" t="str">
        <f>IFERROR(VLOOKUP($Q100,FeeLookup!$J$5:$L$33,3,FALSE),"")</f>
        <v/>
      </c>
      <c r="L100" s="413" t="s">
        <v>29</v>
      </c>
      <c r="M100" s="414">
        <v>79</v>
      </c>
      <c r="N100" s="5">
        <f t="shared" si="21"/>
        <v>0</v>
      </c>
      <c r="O100" s="12" t="str">
        <f t="shared" si="22"/>
        <v>TEF</v>
      </c>
      <c r="P100" s="12" t="str">
        <f t="shared" si="23"/>
        <v/>
      </c>
      <c r="Q100" s="13" t="str">
        <f t="shared" si="24"/>
        <v>_TEF_</v>
      </c>
      <c r="R100" s="13" t="str">
        <f t="shared" si="25"/>
        <v/>
      </c>
      <c r="S100" s="12" t="str">
        <f t="shared" si="26"/>
        <v/>
      </c>
      <c r="T100" s="12" t="str">
        <f t="shared" si="18"/>
        <v/>
      </c>
      <c r="U100" s="12" t="str">
        <f t="shared" si="19"/>
        <v>NO</v>
      </c>
      <c r="V100" s="14" t="str">
        <f t="shared" si="27"/>
        <v/>
      </c>
      <c r="W100" s="14" t="str">
        <f t="shared" si="28"/>
        <v/>
      </c>
      <c r="X100" s="14" t="str">
        <f t="shared" si="29"/>
        <v/>
      </c>
      <c r="Y100" s="15" t="str">
        <f t="shared" si="20"/>
        <v/>
      </c>
      <c r="Z100" s="342">
        <f t="shared" si="30"/>
        <v>0</v>
      </c>
      <c r="AA100" s="342">
        <f t="shared" si="14"/>
        <v>0</v>
      </c>
      <c r="AB100" s="342">
        <f t="shared" si="15"/>
        <v>0</v>
      </c>
      <c r="AC100" s="342">
        <f t="shared" si="16"/>
        <v>0</v>
      </c>
    </row>
    <row r="101" spans="1:29" ht="12.75" customHeight="1" x14ac:dyDescent="0.2">
      <c r="A101" s="71">
        <v>80</v>
      </c>
      <c r="B101" s="17"/>
      <c r="C101" s="17"/>
      <c r="D101" s="487"/>
      <c r="E101" s="487"/>
      <c r="F101" s="487"/>
      <c r="G101" s="487"/>
      <c r="H101" s="17"/>
      <c r="I101" s="492"/>
      <c r="J101" s="489" t="str">
        <f>IFERROR(VLOOKUP($Q101,FeeLookup!$J$5:$L$33,2,FALSE),"")</f>
        <v/>
      </c>
      <c r="K101" s="489" t="str">
        <f>IFERROR(VLOOKUP($Q101,FeeLookup!$J$5:$L$33,3,FALSE),"")</f>
        <v/>
      </c>
      <c r="L101" s="413" t="s">
        <v>29</v>
      </c>
      <c r="M101" s="414">
        <v>80</v>
      </c>
      <c r="N101" s="5">
        <f t="shared" si="21"/>
        <v>0</v>
      </c>
      <c r="O101" s="12" t="str">
        <f t="shared" si="22"/>
        <v>TEF</v>
      </c>
      <c r="P101" s="12" t="str">
        <f t="shared" si="23"/>
        <v/>
      </c>
      <c r="Q101" s="13" t="str">
        <f t="shared" si="24"/>
        <v>_TEF_</v>
      </c>
      <c r="R101" s="13" t="str">
        <f t="shared" si="25"/>
        <v/>
      </c>
      <c r="S101" s="12" t="str">
        <f t="shared" si="26"/>
        <v/>
      </c>
      <c r="T101" s="12" t="str">
        <f t="shared" si="18"/>
        <v/>
      </c>
      <c r="U101" s="12" t="str">
        <f t="shared" si="19"/>
        <v>NO</v>
      </c>
      <c r="V101" s="14" t="str">
        <f t="shared" si="27"/>
        <v/>
      </c>
      <c r="W101" s="14" t="str">
        <f t="shared" si="28"/>
        <v/>
      </c>
      <c r="X101" s="14" t="str">
        <f t="shared" si="29"/>
        <v/>
      </c>
      <c r="Y101" s="15" t="str">
        <f t="shared" si="20"/>
        <v/>
      </c>
      <c r="Z101" s="342">
        <f t="shared" si="30"/>
        <v>0</v>
      </c>
      <c r="AA101" s="342">
        <f t="shared" si="14"/>
        <v>0</v>
      </c>
      <c r="AB101" s="342">
        <f t="shared" si="15"/>
        <v>0</v>
      </c>
      <c r="AC101" s="342">
        <f t="shared" si="16"/>
        <v>0</v>
      </c>
    </row>
    <row r="102" spans="1:29" ht="12.75" customHeight="1" x14ac:dyDescent="0.2">
      <c r="A102" s="71">
        <v>81</v>
      </c>
      <c r="B102" s="17"/>
      <c r="C102" s="17"/>
      <c r="D102" s="487"/>
      <c r="E102" s="487"/>
      <c r="F102" s="487"/>
      <c r="G102" s="487"/>
      <c r="H102" s="17"/>
      <c r="I102" s="492"/>
      <c r="J102" s="489" t="str">
        <f>IFERROR(VLOOKUP($Q102,FeeLookup!$J$5:$L$33,2,FALSE),"")</f>
        <v/>
      </c>
      <c r="K102" s="489" t="str">
        <f>IFERROR(VLOOKUP($Q102,FeeLookup!$J$5:$L$33,3,FALSE),"")</f>
        <v/>
      </c>
      <c r="L102" s="413" t="s">
        <v>29</v>
      </c>
      <c r="M102" s="414">
        <v>81</v>
      </c>
      <c r="N102" s="5">
        <f t="shared" si="21"/>
        <v>0</v>
      </c>
      <c r="O102" s="12" t="str">
        <f t="shared" si="22"/>
        <v>TEF</v>
      </c>
      <c r="P102" s="12" t="str">
        <f t="shared" si="23"/>
        <v/>
      </c>
      <c r="Q102" s="13" t="str">
        <f t="shared" si="24"/>
        <v>_TEF_</v>
      </c>
      <c r="R102" s="13" t="str">
        <f t="shared" si="25"/>
        <v/>
      </c>
      <c r="S102" s="12" t="str">
        <f t="shared" si="26"/>
        <v/>
      </c>
      <c r="T102" s="12" t="str">
        <f t="shared" si="18"/>
        <v/>
      </c>
      <c r="U102" s="12" t="str">
        <f t="shared" si="19"/>
        <v>NO</v>
      </c>
      <c r="V102" s="14" t="str">
        <f t="shared" si="27"/>
        <v/>
      </c>
      <c r="W102" s="14" t="str">
        <f t="shared" si="28"/>
        <v/>
      </c>
      <c r="X102" s="14" t="str">
        <f t="shared" si="29"/>
        <v/>
      </c>
      <c r="Y102" s="15" t="str">
        <f t="shared" si="20"/>
        <v/>
      </c>
      <c r="Z102" s="342">
        <f t="shared" si="30"/>
        <v>0</v>
      </c>
      <c r="AA102" s="342">
        <f t="shared" ref="AA102:AA165" si="31">IF(IF(ISERROR($I102-$J102)=TRUE,0,$I102-$J102)&gt;0,E102,0)</f>
        <v>0</v>
      </c>
      <c r="AB102" s="342">
        <f t="shared" ref="AB102:AB165" si="32">IF(IF(ISERROR($I102-$J102)=TRUE,0,$I102-$J102)&gt;0,F102,0)</f>
        <v>0</v>
      </c>
      <c r="AC102" s="342">
        <f t="shared" ref="AC102:AC165" si="33">IF(IF(ISERROR($I102-$J102)=TRUE,0,$I102-$J102)&gt;0,G102,0)</f>
        <v>0</v>
      </c>
    </row>
    <row r="103" spans="1:29" ht="12.75" customHeight="1" x14ac:dyDescent="0.2">
      <c r="A103" s="71">
        <v>82</v>
      </c>
      <c r="B103" s="17"/>
      <c r="C103" s="17"/>
      <c r="D103" s="487"/>
      <c r="E103" s="487"/>
      <c r="F103" s="487"/>
      <c r="G103" s="487"/>
      <c r="H103" s="17"/>
      <c r="I103" s="492"/>
      <c r="J103" s="489" t="str">
        <f>IFERROR(VLOOKUP($Q103,FeeLookup!$J$5:$L$33,2,FALSE),"")</f>
        <v/>
      </c>
      <c r="K103" s="489" t="str">
        <f>IFERROR(VLOOKUP($Q103,FeeLookup!$J$5:$L$33,3,FALSE),"")</f>
        <v/>
      </c>
      <c r="L103" s="413" t="s">
        <v>29</v>
      </c>
      <c r="M103" s="414">
        <v>82</v>
      </c>
      <c r="N103" s="5">
        <f t="shared" si="21"/>
        <v>0</v>
      </c>
      <c r="O103" s="12" t="str">
        <f t="shared" si="22"/>
        <v>TEF</v>
      </c>
      <c r="P103" s="12" t="str">
        <f t="shared" si="23"/>
        <v/>
      </c>
      <c r="Q103" s="13" t="str">
        <f t="shared" si="24"/>
        <v>_TEF_</v>
      </c>
      <c r="R103" s="13" t="str">
        <f t="shared" si="25"/>
        <v/>
      </c>
      <c r="S103" s="12" t="str">
        <f t="shared" si="26"/>
        <v/>
      </c>
      <c r="T103" s="12" t="str">
        <f t="shared" si="18"/>
        <v/>
      </c>
      <c r="U103" s="12" t="str">
        <f t="shared" si="19"/>
        <v>NO</v>
      </c>
      <c r="V103" s="14" t="str">
        <f t="shared" si="27"/>
        <v/>
      </c>
      <c r="W103" s="14" t="str">
        <f t="shared" si="28"/>
        <v/>
      </c>
      <c r="X103" s="14" t="str">
        <f t="shared" si="29"/>
        <v/>
      </c>
      <c r="Y103" s="15" t="str">
        <f t="shared" si="20"/>
        <v/>
      </c>
      <c r="Z103" s="342">
        <f t="shared" si="30"/>
        <v>0</v>
      </c>
      <c r="AA103" s="342">
        <f t="shared" si="31"/>
        <v>0</v>
      </c>
      <c r="AB103" s="342">
        <f t="shared" si="32"/>
        <v>0</v>
      </c>
      <c r="AC103" s="342">
        <f t="shared" si="33"/>
        <v>0</v>
      </c>
    </row>
    <row r="104" spans="1:29" ht="12.75" customHeight="1" x14ac:dyDescent="0.2">
      <c r="A104" s="71">
        <v>83</v>
      </c>
      <c r="B104" s="17"/>
      <c r="C104" s="17"/>
      <c r="D104" s="487"/>
      <c r="E104" s="487"/>
      <c r="F104" s="487"/>
      <c r="G104" s="487"/>
      <c r="H104" s="17"/>
      <c r="I104" s="492"/>
      <c r="J104" s="489" t="str">
        <f>IFERROR(VLOOKUP($Q104,FeeLookup!$J$5:$L$33,2,FALSE),"")</f>
        <v/>
      </c>
      <c r="K104" s="489" t="str">
        <f>IFERROR(VLOOKUP($Q104,FeeLookup!$J$5:$L$33,3,FALSE),"")</f>
        <v/>
      </c>
      <c r="L104" s="413" t="s">
        <v>29</v>
      </c>
      <c r="M104" s="414">
        <v>83</v>
      </c>
      <c r="N104" s="5">
        <f t="shared" si="21"/>
        <v>0</v>
      </c>
      <c r="O104" s="12" t="str">
        <f t="shared" si="22"/>
        <v>TEF</v>
      </c>
      <c r="P104" s="12" t="str">
        <f t="shared" si="23"/>
        <v/>
      </c>
      <c r="Q104" s="13" t="str">
        <f t="shared" si="24"/>
        <v>_TEF_</v>
      </c>
      <c r="R104" s="13" t="str">
        <f t="shared" si="25"/>
        <v/>
      </c>
      <c r="S104" s="12" t="str">
        <f t="shared" si="26"/>
        <v/>
      </c>
      <c r="T104" s="12" t="str">
        <f t="shared" si="18"/>
        <v/>
      </c>
      <c r="U104" s="12" t="str">
        <f t="shared" si="19"/>
        <v>NO</v>
      </c>
      <c r="V104" s="14" t="str">
        <f t="shared" si="27"/>
        <v/>
      </c>
      <c r="W104" s="14" t="str">
        <f t="shared" si="28"/>
        <v/>
      </c>
      <c r="X104" s="14" t="str">
        <f t="shared" si="29"/>
        <v/>
      </c>
      <c r="Y104" s="15" t="str">
        <f t="shared" si="20"/>
        <v/>
      </c>
      <c r="Z104" s="342">
        <f t="shared" si="30"/>
        <v>0</v>
      </c>
      <c r="AA104" s="342">
        <f t="shared" si="31"/>
        <v>0</v>
      </c>
      <c r="AB104" s="342">
        <f t="shared" si="32"/>
        <v>0</v>
      </c>
      <c r="AC104" s="342">
        <f t="shared" si="33"/>
        <v>0</v>
      </c>
    </row>
    <row r="105" spans="1:29" ht="12.75" customHeight="1" x14ac:dyDescent="0.2">
      <c r="A105" s="71">
        <v>84</v>
      </c>
      <c r="B105" s="17"/>
      <c r="C105" s="17"/>
      <c r="D105" s="487"/>
      <c r="E105" s="487"/>
      <c r="F105" s="487"/>
      <c r="G105" s="487"/>
      <c r="H105" s="17"/>
      <c r="I105" s="492"/>
      <c r="J105" s="489" t="str">
        <f>IFERROR(VLOOKUP($Q105,FeeLookup!$J$5:$L$33,2,FALSE),"")</f>
        <v/>
      </c>
      <c r="K105" s="489" t="str">
        <f>IFERROR(VLOOKUP($Q105,FeeLookup!$J$5:$L$33,3,FALSE),"")</f>
        <v/>
      </c>
      <c r="L105" s="413" t="s">
        <v>29</v>
      </c>
      <c r="M105" s="414">
        <v>84</v>
      </c>
      <c r="N105" s="5">
        <f t="shared" si="21"/>
        <v>0</v>
      </c>
      <c r="O105" s="12" t="str">
        <f t="shared" si="22"/>
        <v>TEF</v>
      </c>
      <c r="P105" s="12" t="str">
        <f t="shared" si="23"/>
        <v/>
      </c>
      <c r="Q105" s="13" t="str">
        <f t="shared" si="24"/>
        <v>_TEF_</v>
      </c>
      <c r="R105" s="13" t="str">
        <f t="shared" si="25"/>
        <v/>
      </c>
      <c r="S105" s="12" t="str">
        <f t="shared" si="26"/>
        <v/>
      </c>
      <c r="T105" s="12" t="str">
        <f t="shared" si="18"/>
        <v/>
      </c>
      <c r="U105" s="12" t="str">
        <f t="shared" si="19"/>
        <v>NO</v>
      </c>
      <c r="V105" s="14" t="str">
        <f t="shared" si="27"/>
        <v/>
      </c>
      <c r="W105" s="14" t="str">
        <f t="shared" si="28"/>
        <v/>
      </c>
      <c r="X105" s="14" t="str">
        <f t="shared" si="29"/>
        <v/>
      </c>
      <c r="Y105" s="15" t="str">
        <f t="shared" si="20"/>
        <v/>
      </c>
      <c r="Z105" s="342">
        <f t="shared" si="30"/>
        <v>0</v>
      </c>
      <c r="AA105" s="342">
        <f t="shared" si="31"/>
        <v>0</v>
      </c>
      <c r="AB105" s="342">
        <f t="shared" si="32"/>
        <v>0</v>
      </c>
      <c r="AC105" s="342">
        <f t="shared" si="33"/>
        <v>0</v>
      </c>
    </row>
    <row r="106" spans="1:29" ht="12.75" customHeight="1" x14ac:dyDescent="0.2">
      <c r="A106" s="71">
        <v>85</v>
      </c>
      <c r="B106" s="17"/>
      <c r="C106" s="17"/>
      <c r="D106" s="487"/>
      <c r="E106" s="487"/>
      <c r="F106" s="487"/>
      <c r="G106" s="487"/>
      <c r="H106" s="17"/>
      <c r="I106" s="492"/>
      <c r="J106" s="489" t="str">
        <f>IFERROR(VLOOKUP($Q106,FeeLookup!$J$5:$L$33,2,FALSE),"")</f>
        <v/>
      </c>
      <c r="K106" s="489" t="str">
        <f>IFERROR(VLOOKUP($Q106,FeeLookup!$J$5:$L$33,3,FALSE),"")</f>
        <v/>
      </c>
      <c r="L106" s="413" t="s">
        <v>29</v>
      </c>
      <c r="M106" s="414">
        <v>85</v>
      </c>
      <c r="N106" s="5">
        <f t="shared" si="21"/>
        <v>0</v>
      </c>
      <c r="O106" s="12" t="str">
        <f t="shared" si="22"/>
        <v>TEF</v>
      </c>
      <c r="P106" s="12" t="str">
        <f t="shared" si="23"/>
        <v/>
      </c>
      <c r="Q106" s="13" t="str">
        <f t="shared" si="24"/>
        <v>_TEF_</v>
      </c>
      <c r="R106" s="13" t="str">
        <f t="shared" si="25"/>
        <v/>
      </c>
      <c r="S106" s="12" t="str">
        <f t="shared" si="26"/>
        <v/>
      </c>
      <c r="T106" s="12" t="str">
        <f t="shared" si="18"/>
        <v/>
      </c>
      <c r="U106" s="12" t="str">
        <f t="shared" si="19"/>
        <v>NO</v>
      </c>
      <c r="V106" s="14" t="str">
        <f t="shared" si="27"/>
        <v/>
      </c>
      <c r="W106" s="14" t="str">
        <f t="shared" si="28"/>
        <v/>
      </c>
      <c r="X106" s="14" t="str">
        <f t="shared" si="29"/>
        <v/>
      </c>
      <c r="Y106" s="15" t="str">
        <f t="shared" si="20"/>
        <v/>
      </c>
      <c r="Z106" s="342">
        <f t="shared" si="30"/>
        <v>0</v>
      </c>
      <c r="AA106" s="342">
        <f t="shared" si="31"/>
        <v>0</v>
      </c>
      <c r="AB106" s="342">
        <f t="shared" si="32"/>
        <v>0</v>
      </c>
      <c r="AC106" s="342">
        <f t="shared" si="33"/>
        <v>0</v>
      </c>
    </row>
    <row r="107" spans="1:29" ht="12.75" customHeight="1" x14ac:dyDescent="0.2">
      <c r="A107" s="71">
        <v>86</v>
      </c>
      <c r="B107" s="17"/>
      <c r="C107" s="17"/>
      <c r="D107" s="487"/>
      <c r="E107" s="487"/>
      <c r="F107" s="487"/>
      <c r="G107" s="487"/>
      <c r="H107" s="17"/>
      <c r="I107" s="492"/>
      <c r="J107" s="489" t="str">
        <f>IFERROR(VLOOKUP($Q107,FeeLookup!$J$5:$L$33,2,FALSE),"")</f>
        <v/>
      </c>
      <c r="K107" s="489" t="str">
        <f>IFERROR(VLOOKUP($Q107,FeeLookup!$J$5:$L$33,3,FALSE),"")</f>
        <v/>
      </c>
      <c r="L107" s="413" t="s">
        <v>29</v>
      </c>
      <c r="M107" s="414">
        <v>86</v>
      </c>
      <c r="N107" s="5">
        <f t="shared" si="21"/>
        <v>0</v>
      </c>
      <c r="O107" s="12" t="str">
        <f t="shared" si="22"/>
        <v>TEF</v>
      </c>
      <c r="P107" s="12" t="str">
        <f t="shared" si="23"/>
        <v/>
      </c>
      <c r="Q107" s="13" t="str">
        <f t="shared" si="24"/>
        <v>_TEF_</v>
      </c>
      <c r="R107" s="13" t="str">
        <f t="shared" si="25"/>
        <v/>
      </c>
      <c r="S107" s="12" t="str">
        <f t="shared" si="26"/>
        <v/>
      </c>
      <c r="T107" s="12" t="str">
        <f t="shared" si="18"/>
        <v/>
      </c>
      <c r="U107" s="12" t="str">
        <f t="shared" si="19"/>
        <v>NO</v>
      </c>
      <c r="V107" s="14" t="str">
        <f t="shared" si="27"/>
        <v/>
      </c>
      <c r="W107" s="14" t="str">
        <f t="shared" si="28"/>
        <v/>
      </c>
      <c r="X107" s="14" t="str">
        <f t="shared" si="29"/>
        <v/>
      </c>
      <c r="Y107" s="15" t="str">
        <f t="shared" si="20"/>
        <v/>
      </c>
      <c r="Z107" s="342">
        <f t="shared" si="30"/>
        <v>0</v>
      </c>
      <c r="AA107" s="342">
        <f t="shared" si="31"/>
        <v>0</v>
      </c>
      <c r="AB107" s="342">
        <f t="shared" si="32"/>
        <v>0</v>
      </c>
      <c r="AC107" s="342">
        <f t="shared" si="33"/>
        <v>0</v>
      </c>
    </row>
    <row r="108" spans="1:29" ht="12.75" customHeight="1" x14ac:dyDescent="0.2">
      <c r="A108" s="71">
        <v>87</v>
      </c>
      <c r="B108" s="17"/>
      <c r="C108" s="17"/>
      <c r="D108" s="487"/>
      <c r="E108" s="487"/>
      <c r="F108" s="487"/>
      <c r="G108" s="487"/>
      <c r="H108" s="17"/>
      <c r="I108" s="492"/>
      <c r="J108" s="489" t="str">
        <f>IFERROR(VLOOKUP($Q108,FeeLookup!$J$5:$L$33,2,FALSE),"")</f>
        <v/>
      </c>
      <c r="K108" s="489" t="str">
        <f>IFERROR(VLOOKUP($Q108,FeeLookup!$J$5:$L$33,3,FALSE),"")</f>
        <v/>
      </c>
      <c r="L108" s="413" t="s">
        <v>29</v>
      </c>
      <c r="M108" s="414">
        <v>87</v>
      </c>
      <c r="N108" s="5">
        <f t="shared" si="21"/>
        <v>0</v>
      </c>
      <c r="O108" s="12" t="str">
        <f t="shared" si="22"/>
        <v>TEF</v>
      </c>
      <c r="P108" s="12" t="str">
        <f t="shared" si="23"/>
        <v/>
      </c>
      <c r="Q108" s="13" t="str">
        <f t="shared" si="24"/>
        <v>_TEF_</v>
      </c>
      <c r="R108" s="13" t="str">
        <f t="shared" si="25"/>
        <v/>
      </c>
      <c r="S108" s="12" t="str">
        <f t="shared" si="26"/>
        <v/>
      </c>
      <c r="T108" s="12" t="str">
        <f t="shared" si="18"/>
        <v/>
      </c>
      <c r="U108" s="12" t="str">
        <f t="shared" si="19"/>
        <v>NO</v>
      </c>
      <c r="V108" s="14" t="str">
        <f t="shared" si="27"/>
        <v/>
      </c>
      <c r="W108" s="14" t="str">
        <f t="shared" si="28"/>
        <v/>
      </c>
      <c r="X108" s="14" t="str">
        <f t="shared" si="29"/>
        <v/>
      </c>
      <c r="Y108" s="15" t="str">
        <f t="shared" si="20"/>
        <v/>
      </c>
      <c r="Z108" s="342">
        <f t="shared" si="30"/>
        <v>0</v>
      </c>
      <c r="AA108" s="342">
        <f t="shared" si="31"/>
        <v>0</v>
      </c>
      <c r="AB108" s="342">
        <f t="shared" si="32"/>
        <v>0</v>
      </c>
      <c r="AC108" s="342">
        <f t="shared" si="33"/>
        <v>0</v>
      </c>
    </row>
    <row r="109" spans="1:29" ht="12.75" customHeight="1" x14ac:dyDescent="0.2">
      <c r="A109" s="71">
        <v>88</v>
      </c>
      <c r="B109" s="17"/>
      <c r="C109" s="17"/>
      <c r="D109" s="487"/>
      <c r="E109" s="487"/>
      <c r="F109" s="487"/>
      <c r="G109" s="487"/>
      <c r="H109" s="17"/>
      <c r="I109" s="492"/>
      <c r="J109" s="489" t="str">
        <f>IFERROR(VLOOKUP($Q109,FeeLookup!$J$5:$L$33,2,FALSE),"")</f>
        <v/>
      </c>
      <c r="K109" s="489" t="str">
        <f>IFERROR(VLOOKUP($Q109,FeeLookup!$J$5:$L$33,3,FALSE),"")</f>
        <v/>
      </c>
      <c r="L109" s="413" t="s">
        <v>29</v>
      </c>
      <c r="M109" s="414">
        <v>88</v>
      </c>
      <c r="N109" s="5">
        <f t="shared" si="21"/>
        <v>0</v>
      </c>
      <c r="O109" s="12" t="str">
        <f t="shared" si="22"/>
        <v>TEF</v>
      </c>
      <c r="P109" s="12" t="str">
        <f t="shared" si="23"/>
        <v/>
      </c>
      <c r="Q109" s="13" t="str">
        <f t="shared" si="24"/>
        <v>_TEF_</v>
      </c>
      <c r="R109" s="13" t="str">
        <f t="shared" si="25"/>
        <v/>
      </c>
      <c r="S109" s="12" t="str">
        <f t="shared" si="26"/>
        <v/>
      </c>
      <c r="T109" s="12" t="str">
        <f t="shared" si="18"/>
        <v/>
      </c>
      <c r="U109" s="12" t="str">
        <f t="shared" si="19"/>
        <v>NO</v>
      </c>
      <c r="V109" s="14" t="str">
        <f t="shared" si="27"/>
        <v/>
      </c>
      <c r="W109" s="14" t="str">
        <f t="shared" si="28"/>
        <v/>
      </c>
      <c r="X109" s="14" t="str">
        <f t="shared" si="29"/>
        <v/>
      </c>
      <c r="Y109" s="15" t="str">
        <f t="shared" si="20"/>
        <v/>
      </c>
      <c r="Z109" s="342">
        <f t="shared" si="30"/>
        <v>0</v>
      </c>
      <c r="AA109" s="342">
        <f t="shared" si="31"/>
        <v>0</v>
      </c>
      <c r="AB109" s="342">
        <f t="shared" si="32"/>
        <v>0</v>
      </c>
      <c r="AC109" s="342">
        <f t="shared" si="33"/>
        <v>0</v>
      </c>
    </row>
    <row r="110" spans="1:29" ht="12.75" customHeight="1" x14ac:dyDescent="0.2">
      <c r="A110" s="71">
        <v>89</v>
      </c>
      <c r="B110" s="17"/>
      <c r="C110" s="17"/>
      <c r="D110" s="487"/>
      <c r="E110" s="487"/>
      <c r="F110" s="487"/>
      <c r="G110" s="487"/>
      <c r="H110" s="17"/>
      <c r="I110" s="492"/>
      <c r="J110" s="489" t="str">
        <f>IFERROR(VLOOKUP($Q110,FeeLookup!$J$5:$L$33,2,FALSE),"")</f>
        <v/>
      </c>
      <c r="K110" s="489" t="str">
        <f>IFERROR(VLOOKUP($Q110,FeeLookup!$J$5:$L$33,3,FALSE),"")</f>
        <v/>
      </c>
      <c r="L110" s="413" t="s">
        <v>29</v>
      </c>
      <c r="M110" s="414">
        <v>89</v>
      </c>
      <c r="N110" s="5">
        <f t="shared" si="21"/>
        <v>0</v>
      </c>
      <c r="O110" s="12" t="str">
        <f t="shared" si="22"/>
        <v>TEF</v>
      </c>
      <c r="P110" s="12" t="str">
        <f t="shared" si="23"/>
        <v/>
      </c>
      <c r="Q110" s="13" t="str">
        <f t="shared" si="24"/>
        <v>_TEF_</v>
      </c>
      <c r="R110" s="13" t="str">
        <f t="shared" si="25"/>
        <v/>
      </c>
      <c r="S110" s="12" t="str">
        <f t="shared" si="26"/>
        <v/>
      </c>
      <c r="T110" s="12" t="str">
        <f t="shared" si="18"/>
        <v/>
      </c>
      <c r="U110" s="12" t="str">
        <f t="shared" si="19"/>
        <v>NO</v>
      </c>
      <c r="V110" s="14" t="str">
        <f t="shared" si="27"/>
        <v/>
      </c>
      <c r="W110" s="14" t="str">
        <f t="shared" si="28"/>
        <v/>
      </c>
      <c r="X110" s="14" t="str">
        <f t="shared" si="29"/>
        <v/>
      </c>
      <c r="Y110" s="15" t="str">
        <f t="shared" si="20"/>
        <v/>
      </c>
      <c r="Z110" s="342">
        <f t="shared" si="30"/>
        <v>0</v>
      </c>
      <c r="AA110" s="342">
        <f t="shared" si="31"/>
        <v>0</v>
      </c>
      <c r="AB110" s="342">
        <f t="shared" si="32"/>
        <v>0</v>
      </c>
      <c r="AC110" s="342">
        <f t="shared" si="33"/>
        <v>0</v>
      </c>
    </row>
    <row r="111" spans="1:29" ht="12.75" customHeight="1" x14ac:dyDescent="0.2">
      <c r="A111" s="71">
        <v>90</v>
      </c>
      <c r="B111" s="17"/>
      <c r="C111" s="17"/>
      <c r="D111" s="487"/>
      <c r="E111" s="487"/>
      <c r="F111" s="487"/>
      <c r="G111" s="487"/>
      <c r="H111" s="17"/>
      <c r="I111" s="492"/>
      <c r="J111" s="489" t="str">
        <f>IFERROR(VLOOKUP($Q111,FeeLookup!$J$5:$L$33,2,FALSE),"")</f>
        <v/>
      </c>
      <c r="K111" s="489" t="str">
        <f>IFERROR(VLOOKUP($Q111,FeeLookup!$J$5:$L$33,3,FALSE),"")</f>
        <v/>
      </c>
      <c r="L111" s="413" t="s">
        <v>29</v>
      </c>
      <c r="M111" s="414">
        <v>90</v>
      </c>
      <c r="N111" s="5">
        <f t="shared" si="21"/>
        <v>0</v>
      </c>
      <c r="O111" s="12" t="str">
        <f t="shared" si="22"/>
        <v>TEF</v>
      </c>
      <c r="P111" s="12" t="str">
        <f t="shared" si="23"/>
        <v/>
      </c>
      <c r="Q111" s="13" t="str">
        <f t="shared" si="24"/>
        <v>_TEF_</v>
      </c>
      <c r="R111" s="13" t="str">
        <f t="shared" si="25"/>
        <v/>
      </c>
      <c r="S111" s="12" t="str">
        <f t="shared" si="26"/>
        <v/>
      </c>
      <c r="T111" s="12" t="str">
        <f t="shared" si="18"/>
        <v/>
      </c>
      <c r="U111" s="12" t="str">
        <f t="shared" si="19"/>
        <v>NO</v>
      </c>
      <c r="V111" s="14" t="str">
        <f t="shared" si="27"/>
        <v/>
      </c>
      <c r="W111" s="14" t="str">
        <f t="shared" si="28"/>
        <v/>
      </c>
      <c r="X111" s="14" t="str">
        <f t="shared" si="29"/>
        <v/>
      </c>
      <c r="Y111" s="15" t="str">
        <f t="shared" si="20"/>
        <v/>
      </c>
      <c r="Z111" s="342">
        <f t="shared" si="30"/>
        <v>0</v>
      </c>
      <c r="AA111" s="342">
        <f t="shared" si="31"/>
        <v>0</v>
      </c>
      <c r="AB111" s="342">
        <f t="shared" si="32"/>
        <v>0</v>
      </c>
      <c r="AC111" s="342">
        <f t="shared" si="33"/>
        <v>0</v>
      </c>
    </row>
    <row r="112" spans="1:29" ht="12.75" customHeight="1" x14ac:dyDescent="0.2">
      <c r="A112" s="71">
        <v>91</v>
      </c>
      <c r="B112" s="17"/>
      <c r="C112" s="17"/>
      <c r="D112" s="487"/>
      <c r="E112" s="487"/>
      <c r="F112" s="487"/>
      <c r="G112" s="487"/>
      <c r="H112" s="17"/>
      <c r="I112" s="492"/>
      <c r="J112" s="489" t="str">
        <f>IFERROR(VLOOKUP($Q112,FeeLookup!$J$5:$L$33,2,FALSE),"")</f>
        <v/>
      </c>
      <c r="K112" s="489" t="str">
        <f>IFERROR(VLOOKUP($Q112,FeeLookup!$J$5:$L$33,3,FALSE),"")</f>
        <v/>
      </c>
      <c r="L112" s="413" t="s">
        <v>29</v>
      </c>
      <c r="M112" s="414">
        <v>91</v>
      </c>
      <c r="N112" s="5">
        <f t="shared" si="21"/>
        <v>0</v>
      </c>
      <c r="O112" s="12" t="str">
        <f t="shared" si="22"/>
        <v>TEF</v>
      </c>
      <c r="P112" s="12" t="str">
        <f t="shared" si="23"/>
        <v/>
      </c>
      <c r="Q112" s="13" t="str">
        <f t="shared" si="24"/>
        <v>_TEF_</v>
      </c>
      <c r="R112" s="13" t="str">
        <f t="shared" si="25"/>
        <v/>
      </c>
      <c r="S112" s="12" t="str">
        <f t="shared" si="26"/>
        <v/>
      </c>
      <c r="T112" s="12" t="str">
        <f t="shared" si="18"/>
        <v/>
      </c>
      <c r="U112" s="12" t="str">
        <f t="shared" si="19"/>
        <v>NO</v>
      </c>
      <c r="V112" s="14" t="str">
        <f t="shared" si="27"/>
        <v/>
      </c>
      <c r="W112" s="14" t="str">
        <f t="shared" si="28"/>
        <v/>
      </c>
      <c r="X112" s="14" t="str">
        <f t="shared" si="29"/>
        <v/>
      </c>
      <c r="Y112" s="15" t="str">
        <f t="shared" si="20"/>
        <v/>
      </c>
      <c r="Z112" s="342">
        <f t="shared" si="30"/>
        <v>0</v>
      </c>
      <c r="AA112" s="342">
        <f t="shared" si="31"/>
        <v>0</v>
      </c>
      <c r="AB112" s="342">
        <f t="shared" si="32"/>
        <v>0</v>
      </c>
      <c r="AC112" s="342">
        <f t="shared" si="33"/>
        <v>0</v>
      </c>
    </row>
    <row r="113" spans="1:29" ht="12.75" customHeight="1" x14ac:dyDescent="0.2">
      <c r="A113" s="71">
        <v>92</v>
      </c>
      <c r="B113" s="17"/>
      <c r="C113" s="17"/>
      <c r="D113" s="487"/>
      <c r="E113" s="487"/>
      <c r="F113" s="487"/>
      <c r="G113" s="487"/>
      <c r="H113" s="17"/>
      <c r="I113" s="492"/>
      <c r="J113" s="489" t="str">
        <f>IFERROR(VLOOKUP($Q113,FeeLookup!$J$5:$L$33,2,FALSE),"")</f>
        <v/>
      </c>
      <c r="K113" s="489" t="str">
        <f>IFERROR(VLOOKUP($Q113,FeeLookup!$J$5:$L$33,3,FALSE),"")</f>
        <v/>
      </c>
      <c r="L113" s="413" t="s">
        <v>29</v>
      </c>
      <c r="M113" s="414">
        <v>92</v>
      </c>
      <c r="N113" s="5">
        <f t="shared" si="21"/>
        <v>0</v>
      </c>
      <c r="O113" s="12" t="str">
        <f t="shared" si="22"/>
        <v>TEF</v>
      </c>
      <c r="P113" s="12" t="str">
        <f t="shared" si="23"/>
        <v/>
      </c>
      <c r="Q113" s="13" t="str">
        <f t="shared" si="24"/>
        <v>_TEF_</v>
      </c>
      <c r="R113" s="13" t="str">
        <f t="shared" si="25"/>
        <v/>
      </c>
      <c r="S113" s="12" t="str">
        <f t="shared" si="26"/>
        <v/>
      </c>
      <c r="T113" s="12" t="str">
        <f t="shared" si="18"/>
        <v/>
      </c>
      <c r="U113" s="12" t="str">
        <f t="shared" si="19"/>
        <v>NO</v>
      </c>
      <c r="V113" s="14" t="str">
        <f t="shared" si="27"/>
        <v/>
      </c>
      <c r="W113" s="14" t="str">
        <f t="shared" si="28"/>
        <v/>
      </c>
      <c r="X113" s="14" t="str">
        <f t="shared" si="29"/>
        <v/>
      </c>
      <c r="Y113" s="15" t="str">
        <f t="shared" si="20"/>
        <v/>
      </c>
      <c r="Z113" s="342">
        <f t="shared" si="30"/>
        <v>0</v>
      </c>
      <c r="AA113" s="342">
        <f t="shared" si="31"/>
        <v>0</v>
      </c>
      <c r="AB113" s="342">
        <f t="shared" si="32"/>
        <v>0</v>
      </c>
      <c r="AC113" s="342">
        <f t="shared" si="33"/>
        <v>0</v>
      </c>
    </row>
    <row r="114" spans="1:29" ht="12.75" customHeight="1" x14ac:dyDescent="0.2">
      <c r="A114" s="71">
        <v>93</v>
      </c>
      <c r="B114" s="17"/>
      <c r="C114" s="17"/>
      <c r="D114" s="487"/>
      <c r="E114" s="487"/>
      <c r="F114" s="487"/>
      <c r="G114" s="487"/>
      <c r="H114" s="17"/>
      <c r="I114" s="492"/>
      <c r="J114" s="489" t="str">
        <f>IFERROR(VLOOKUP($Q114,FeeLookup!$J$5:$L$33,2,FALSE),"")</f>
        <v/>
      </c>
      <c r="K114" s="489" t="str">
        <f>IFERROR(VLOOKUP($Q114,FeeLookup!$J$5:$L$33,3,FALSE),"")</f>
        <v/>
      </c>
      <c r="L114" s="413" t="s">
        <v>29</v>
      </c>
      <c r="M114" s="414">
        <v>93</v>
      </c>
      <c r="N114" s="5">
        <f t="shared" si="21"/>
        <v>0</v>
      </c>
      <c r="O114" s="12" t="str">
        <f t="shared" si="22"/>
        <v>TEF</v>
      </c>
      <c r="P114" s="12" t="str">
        <f t="shared" si="23"/>
        <v/>
      </c>
      <c r="Q114" s="13" t="str">
        <f t="shared" si="24"/>
        <v>_TEF_</v>
      </c>
      <c r="R114" s="13" t="str">
        <f t="shared" si="25"/>
        <v/>
      </c>
      <c r="S114" s="12" t="str">
        <f t="shared" si="26"/>
        <v/>
      </c>
      <c r="T114" s="12" t="str">
        <f t="shared" si="18"/>
        <v/>
      </c>
      <c r="U114" s="12" t="str">
        <f t="shared" si="19"/>
        <v>NO</v>
      </c>
      <c r="V114" s="14" t="str">
        <f t="shared" si="27"/>
        <v/>
      </c>
      <c r="W114" s="14" t="str">
        <f t="shared" si="28"/>
        <v/>
      </c>
      <c r="X114" s="14" t="str">
        <f t="shared" si="29"/>
        <v/>
      </c>
      <c r="Y114" s="15" t="str">
        <f t="shared" si="20"/>
        <v/>
      </c>
      <c r="Z114" s="342">
        <f t="shared" si="30"/>
        <v>0</v>
      </c>
      <c r="AA114" s="342">
        <f t="shared" si="31"/>
        <v>0</v>
      </c>
      <c r="AB114" s="342">
        <f t="shared" si="32"/>
        <v>0</v>
      </c>
      <c r="AC114" s="342">
        <f t="shared" si="33"/>
        <v>0</v>
      </c>
    </row>
    <row r="115" spans="1:29" ht="12.75" customHeight="1" x14ac:dyDescent="0.2">
      <c r="A115" s="71">
        <v>94</v>
      </c>
      <c r="B115" s="17"/>
      <c r="C115" s="17"/>
      <c r="D115" s="487"/>
      <c r="E115" s="487"/>
      <c r="F115" s="487"/>
      <c r="G115" s="487"/>
      <c r="H115" s="17"/>
      <c r="I115" s="492"/>
      <c r="J115" s="489" t="str">
        <f>IFERROR(VLOOKUP($Q115,FeeLookup!$J$5:$L$33,2,FALSE),"")</f>
        <v/>
      </c>
      <c r="K115" s="489" t="str">
        <f>IFERROR(VLOOKUP($Q115,FeeLookup!$J$5:$L$33,3,FALSE),"")</f>
        <v/>
      </c>
      <c r="L115" s="413" t="s">
        <v>29</v>
      </c>
      <c r="M115" s="414">
        <v>94</v>
      </c>
      <c r="N115" s="5">
        <f t="shared" si="21"/>
        <v>0</v>
      </c>
      <c r="O115" s="12" t="str">
        <f t="shared" si="22"/>
        <v>TEF</v>
      </c>
      <c r="P115" s="12" t="str">
        <f t="shared" si="23"/>
        <v/>
      </c>
      <c r="Q115" s="13" t="str">
        <f t="shared" si="24"/>
        <v>_TEF_</v>
      </c>
      <c r="R115" s="13" t="str">
        <f t="shared" si="25"/>
        <v/>
      </c>
      <c r="S115" s="12" t="str">
        <f t="shared" si="26"/>
        <v/>
      </c>
      <c r="T115" s="12" t="str">
        <f t="shared" si="18"/>
        <v/>
      </c>
      <c r="U115" s="12" t="str">
        <f t="shared" si="19"/>
        <v>NO</v>
      </c>
      <c r="V115" s="14" t="str">
        <f t="shared" si="27"/>
        <v/>
      </c>
      <c r="W115" s="14" t="str">
        <f t="shared" si="28"/>
        <v/>
      </c>
      <c r="X115" s="14" t="str">
        <f t="shared" si="29"/>
        <v/>
      </c>
      <c r="Y115" s="15" t="str">
        <f t="shared" si="20"/>
        <v/>
      </c>
      <c r="Z115" s="342">
        <f t="shared" si="30"/>
        <v>0</v>
      </c>
      <c r="AA115" s="342">
        <f t="shared" si="31"/>
        <v>0</v>
      </c>
      <c r="AB115" s="342">
        <f t="shared" si="32"/>
        <v>0</v>
      </c>
      <c r="AC115" s="342">
        <f t="shared" si="33"/>
        <v>0</v>
      </c>
    </row>
    <row r="116" spans="1:29" ht="12.75" customHeight="1" x14ac:dyDescent="0.2">
      <c r="A116" s="71">
        <v>95</v>
      </c>
      <c r="B116" s="17"/>
      <c r="C116" s="17"/>
      <c r="D116" s="487"/>
      <c r="E116" s="487"/>
      <c r="F116" s="487"/>
      <c r="G116" s="487"/>
      <c r="H116" s="17"/>
      <c r="I116" s="492"/>
      <c r="J116" s="489" t="str">
        <f>IFERROR(VLOOKUP($Q116,FeeLookup!$J$5:$L$33,2,FALSE),"")</f>
        <v/>
      </c>
      <c r="K116" s="489" t="str">
        <f>IFERROR(VLOOKUP($Q116,FeeLookup!$J$5:$L$33,3,FALSE),"")</f>
        <v/>
      </c>
      <c r="L116" s="413" t="s">
        <v>29</v>
      </c>
      <c r="M116" s="414">
        <v>95</v>
      </c>
      <c r="N116" s="5">
        <f t="shared" si="21"/>
        <v>0</v>
      </c>
      <c r="O116" s="12" t="str">
        <f t="shared" si="22"/>
        <v>TEF</v>
      </c>
      <c r="P116" s="12" t="str">
        <f t="shared" si="23"/>
        <v/>
      </c>
      <c r="Q116" s="13" t="str">
        <f t="shared" si="24"/>
        <v>_TEF_</v>
      </c>
      <c r="R116" s="13" t="str">
        <f t="shared" si="25"/>
        <v/>
      </c>
      <c r="S116" s="12" t="str">
        <f t="shared" si="26"/>
        <v/>
      </c>
      <c r="T116" s="12" t="str">
        <f t="shared" si="18"/>
        <v/>
      </c>
      <c r="U116" s="12" t="str">
        <f t="shared" si="19"/>
        <v>NO</v>
      </c>
      <c r="V116" s="14" t="str">
        <f t="shared" si="27"/>
        <v/>
      </c>
      <c r="W116" s="14" t="str">
        <f t="shared" si="28"/>
        <v/>
      </c>
      <c r="X116" s="14" t="str">
        <f t="shared" si="29"/>
        <v/>
      </c>
      <c r="Y116" s="15" t="str">
        <f t="shared" si="20"/>
        <v/>
      </c>
      <c r="Z116" s="342">
        <f t="shared" si="30"/>
        <v>0</v>
      </c>
      <c r="AA116" s="342">
        <f t="shared" si="31"/>
        <v>0</v>
      </c>
      <c r="AB116" s="342">
        <f t="shared" si="32"/>
        <v>0</v>
      </c>
      <c r="AC116" s="342">
        <f t="shared" si="33"/>
        <v>0</v>
      </c>
    </row>
    <row r="117" spans="1:29" ht="12.75" customHeight="1" x14ac:dyDescent="0.2">
      <c r="A117" s="71">
        <v>96</v>
      </c>
      <c r="B117" s="17"/>
      <c r="C117" s="17"/>
      <c r="D117" s="487"/>
      <c r="E117" s="487"/>
      <c r="F117" s="487"/>
      <c r="G117" s="487"/>
      <c r="H117" s="17"/>
      <c r="I117" s="492"/>
      <c r="J117" s="489" t="str">
        <f>IFERROR(VLOOKUP($Q117,FeeLookup!$J$5:$L$33,2,FALSE),"")</f>
        <v/>
      </c>
      <c r="K117" s="489" t="str">
        <f>IFERROR(VLOOKUP($Q117,FeeLookup!$J$5:$L$33,3,FALSE),"")</f>
        <v/>
      </c>
      <c r="L117" s="413" t="s">
        <v>29</v>
      </c>
      <c r="M117" s="414">
        <v>96</v>
      </c>
      <c r="N117" s="5">
        <f t="shared" si="21"/>
        <v>0</v>
      </c>
      <c r="O117" s="12" t="str">
        <f t="shared" si="22"/>
        <v>TEF</v>
      </c>
      <c r="P117" s="12" t="str">
        <f t="shared" si="23"/>
        <v/>
      </c>
      <c r="Q117" s="13" t="str">
        <f t="shared" si="24"/>
        <v>_TEF_</v>
      </c>
      <c r="R117" s="13" t="str">
        <f t="shared" si="25"/>
        <v/>
      </c>
      <c r="S117" s="12" t="str">
        <f t="shared" si="26"/>
        <v/>
      </c>
      <c r="T117" s="12" t="str">
        <f t="shared" si="18"/>
        <v/>
      </c>
      <c r="U117" s="12" t="str">
        <f t="shared" si="19"/>
        <v>NO</v>
      </c>
      <c r="V117" s="14" t="str">
        <f t="shared" si="27"/>
        <v/>
      </c>
      <c r="W117" s="14" t="str">
        <f t="shared" si="28"/>
        <v/>
      </c>
      <c r="X117" s="14" t="str">
        <f t="shared" si="29"/>
        <v/>
      </c>
      <c r="Y117" s="15" t="str">
        <f t="shared" si="20"/>
        <v/>
      </c>
      <c r="Z117" s="342">
        <f t="shared" si="30"/>
        <v>0</v>
      </c>
      <c r="AA117" s="342">
        <f t="shared" si="31"/>
        <v>0</v>
      </c>
      <c r="AB117" s="342">
        <f t="shared" si="32"/>
        <v>0</v>
      </c>
      <c r="AC117" s="342">
        <f t="shared" si="33"/>
        <v>0</v>
      </c>
    </row>
    <row r="118" spans="1:29" ht="12.75" customHeight="1" x14ac:dyDescent="0.2">
      <c r="A118" s="71">
        <v>97</v>
      </c>
      <c r="B118" s="17"/>
      <c r="C118" s="17"/>
      <c r="D118" s="487"/>
      <c r="E118" s="487"/>
      <c r="F118" s="487"/>
      <c r="G118" s="487"/>
      <c r="H118" s="17"/>
      <c r="I118" s="492"/>
      <c r="J118" s="489" t="str">
        <f>IFERROR(VLOOKUP($Q118,FeeLookup!$J$5:$L$33,2,FALSE),"")</f>
        <v/>
      </c>
      <c r="K118" s="489" t="str">
        <f>IFERROR(VLOOKUP($Q118,FeeLookup!$J$5:$L$33,3,FALSE),"")</f>
        <v/>
      </c>
      <c r="L118" s="413" t="s">
        <v>29</v>
      </c>
      <c r="M118" s="414">
        <v>97</v>
      </c>
      <c r="N118" s="5">
        <f t="shared" si="21"/>
        <v>0</v>
      </c>
      <c r="O118" s="12" t="str">
        <f t="shared" si="22"/>
        <v>TEF</v>
      </c>
      <c r="P118" s="12" t="str">
        <f t="shared" si="23"/>
        <v/>
      </c>
      <c r="Q118" s="13" t="str">
        <f t="shared" si="24"/>
        <v>_TEF_</v>
      </c>
      <c r="R118" s="13" t="str">
        <f t="shared" si="25"/>
        <v/>
      </c>
      <c r="S118" s="12" t="str">
        <f t="shared" si="26"/>
        <v/>
      </c>
      <c r="T118" s="12" t="str">
        <f t="shared" si="18"/>
        <v/>
      </c>
      <c r="U118" s="12" t="str">
        <f t="shared" ref="U118:U149" si="34">IF(COUNTBLANK(B118:I118)=8,"NO","YES")</f>
        <v>NO</v>
      </c>
      <c r="V118" s="14" t="str">
        <f t="shared" si="27"/>
        <v/>
      </c>
      <c r="W118" s="14" t="str">
        <f t="shared" si="28"/>
        <v/>
      </c>
      <c r="X118" s="14" t="str">
        <f t="shared" si="29"/>
        <v/>
      </c>
      <c r="Y118" s="15" t="str">
        <f t="shared" si="20"/>
        <v/>
      </c>
      <c r="Z118" s="342">
        <f t="shared" si="30"/>
        <v>0</v>
      </c>
      <c r="AA118" s="342">
        <f t="shared" si="31"/>
        <v>0</v>
      </c>
      <c r="AB118" s="342">
        <f t="shared" si="32"/>
        <v>0</v>
      </c>
      <c r="AC118" s="342">
        <f t="shared" si="33"/>
        <v>0</v>
      </c>
    </row>
    <row r="119" spans="1:29" ht="12.75" customHeight="1" x14ac:dyDescent="0.2">
      <c r="A119" s="71">
        <v>98</v>
      </c>
      <c r="B119" s="17"/>
      <c r="C119" s="17"/>
      <c r="D119" s="487"/>
      <c r="E119" s="487"/>
      <c r="F119" s="487"/>
      <c r="G119" s="487"/>
      <c r="H119" s="17"/>
      <c r="I119" s="492"/>
      <c r="J119" s="489" t="str">
        <f>IFERROR(VLOOKUP($Q119,FeeLookup!$J$5:$L$33,2,FALSE),"")</f>
        <v/>
      </c>
      <c r="K119" s="489" t="str">
        <f>IFERROR(VLOOKUP($Q119,FeeLookup!$J$5:$L$33,3,FALSE),"")</f>
        <v/>
      </c>
      <c r="L119" s="413" t="s">
        <v>29</v>
      </c>
      <c r="M119" s="414">
        <v>98</v>
      </c>
      <c r="N119" s="5">
        <f t="shared" si="21"/>
        <v>0</v>
      </c>
      <c r="O119" s="12" t="str">
        <f t="shared" si="22"/>
        <v>TEF</v>
      </c>
      <c r="P119" s="12" t="str">
        <f t="shared" si="23"/>
        <v/>
      </c>
      <c r="Q119" s="13" t="str">
        <f t="shared" si="24"/>
        <v>_TEF_</v>
      </c>
      <c r="R119" s="13" t="str">
        <f t="shared" si="25"/>
        <v/>
      </c>
      <c r="S119" s="12" t="str">
        <f t="shared" si="26"/>
        <v/>
      </c>
      <c r="T119" s="12" t="str">
        <f t="shared" si="18"/>
        <v/>
      </c>
      <c r="U119" s="12" t="str">
        <f t="shared" si="34"/>
        <v>NO</v>
      </c>
      <c r="V119" s="14" t="str">
        <f t="shared" si="27"/>
        <v/>
      </c>
      <c r="W119" s="14" t="str">
        <f t="shared" si="28"/>
        <v/>
      </c>
      <c r="X119" s="14" t="str">
        <f t="shared" si="29"/>
        <v/>
      </c>
      <c r="Y119" s="15" t="str">
        <f t="shared" si="20"/>
        <v/>
      </c>
      <c r="Z119" s="342">
        <f t="shared" si="30"/>
        <v>0</v>
      </c>
      <c r="AA119" s="342">
        <f t="shared" si="31"/>
        <v>0</v>
      </c>
      <c r="AB119" s="342">
        <f t="shared" si="32"/>
        <v>0</v>
      </c>
      <c r="AC119" s="342">
        <f t="shared" si="33"/>
        <v>0</v>
      </c>
    </row>
    <row r="120" spans="1:29" ht="12.75" customHeight="1" x14ac:dyDescent="0.2">
      <c r="A120" s="71">
        <v>99</v>
      </c>
      <c r="B120" s="17"/>
      <c r="C120" s="17"/>
      <c r="D120" s="487"/>
      <c r="E120" s="487"/>
      <c r="F120" s="487"/>
      <c r="G120" s="487"/>
      <c r="H120" s="17"/>
      <c r="I120" s="492"/>
      <c r="J120" s="489" t="str">
        <f>IFERROR(VLOOKUP($Q120,FeeLookup!$J$5:$L$33,2,FALSE),"")</f>
        <v/>
      </c>
      <c r="K120" s="489" t="str">
        <f>IFERROR(VLOOKUP($Q120,FeeLookup!$J$5:$L$33,3,FALSE),"")</f>
        <v/>
      </c>
      <c r="L120" s="413" t="s">
        <v>29</v>
      </c>
      <c r="M120" s="414">
        <v>99</v>
      </c>
      <c r="N120" s="5">
        <f t="shared" si="21"/>
        <v>0</v>
      </c>
      <c r="O120" s="12" t="str">
        <f t="shared" si="22"/>
        <v>TEF</v>
      </c>
      <c r="P120" s="12" t="str">
        <f t="shared" si="23"/>
        <v/>
      </c>
      <c r="Q120" s="13" t="str">
        <f t="shared" si="24"/>
        <v>_TEF_</v>
      </c>
      <c r="R120" s="13" t="str">
        <f t="shared" si="25"/>
        <v/>
      </c>
      <c r="S120" s="12" t="str">
        <f t="shared" si="26"/>
        <v/>
      </c>
      <c r="T120" s="12" t="str">
        <f t="shared" si="18"/>
        <v/>
      </c>
      <c r="U120" s="12" t="str">
        <f t="shared" si="34"/>
        <v>NO</v>
      </c>
      <c r="V120" s="14" t="str">
        <f t="shared" si="27"/>
        <v/>
      </c>
      <c r="W120" s="14" t="str">
        <f t="shared" si="28"/>
        <v/>
      </c>
      <c r="X120" s="14" t="str">
        <f t="shared" si="29"/>
        <v/>
      </c>
      <c r="Y120" s="15" t="str">
        <f t="shared" si="20"/>
        <v/>
      </c>
      <c r="Z120" s="342">
        <f t="shared" si="30"/>
        <v>0</v>
      </c>
      <c r="AA120" s="342">
        <f t="shared" si="31"/>
        <v>0</v>
      </c>
      <c r="AB120" s="342">
        <f t="shared" si="32"/>
        <v>0</v>
      </c>
      <c r="AC120" s="342">
        <f t="shared" si="33"/>
        <v>0</v>
      </c>
    </row>
    <row r="121" spans="1:29" ht="12.75" customHeight="1" x14ac:dyDescent="0.2">
      <c r="A121" s="71">
        <v>100</v>
      </c>
      <c r="B121" s="17"/>
      <c r="C121" s="17"/>
      <c r="D121" s="487"/>
      <c r="E121" s="487"/>
      <c r="F121" s="487"/>
      <c r="G121" s="487"/>
      <c r="H121" s="17"/>
      <c r="I121" s="492"/>
      <c r="J121" s="489" t="str">
        <f>IFERROR(VLOOKUP($Q121,FeeLookup!$J$5:$L$33,2,FALSE),"")</f>
        <v/>
      </c>
      <c r="K121" s="489" t="str">
        <f>IFERROR(VLOOKUP($Q121,FeeLookup!$J$5:$L$33,3,FALSE),"")</f>
        <v/>
      </c>
      <c r="L121" s="413" t="s">
        <v>29</v>
      </c>
      <c r="M121" s="414">
        <v>100</v>
      </c>
      <c r="N121" s="5">
        <f t="shared" si="21"/>
        <v>0</v>
      </c>
      <c r="O121" s="12" t="str">
        <f t="shared" si="22"/>
        <v>TEF</v>
      </c>
      <c r="P121" s="12" t="str">
        <f t="shared" si="23"/>
        <v/>
      </c>
      <c r="Q121" s="13" t="str">
        <f t="shared" si="24"/>
        <v>_TEF_</v>
      </c>
      <c r="R121" s="13" t="str">
        <f t="shared" si="25"/>
        <v/>
      </c>
      <c r="S121" s="12" t="str">
        <f t="shared" si="26"/>
        <v/>
      </c>
      <c r="T121" s="12" t="str">
        <f t="shared" si="18"/>
        <v/>
      </c>
      <c r="U121" s="12" t="str">
        <f t="shared" si="34"/>
        <v>NO</v>
      </c>
      <c r="V121" s="14" t="str">
        <f t="shared" si="27"/>
        <v/>
      </c>
      <c r="W121" s="14" t="str">
        <f t="shared" si="28"/>
        <v/>
      </c>
      <c r="X121" s="14" t="str">
        <f t="shared" si="29"/>
        <v/>
      </c>
      <c r="Y121" s="15" t="str">
        <f t="shared" si="20"/>
        <v/>
      </c>
      <c r="Z121" s="342">
        <f t="shared" si="30"/>
        <v>0</v>
      </c>
      <c r="AA121" s="342">
        <f t="shared" si="31"/>
        <v>0</v>
      </c>
      <c r="AB121" s="342">
        <f t="shared" si="32"/>
        <v>0</v>
      </c>
      <c r="AC121" s="342">
        <f t="shared" si="33"/>
        <v>0</v>
      </c>
    </row>
    <row r="122" spans="1:29" ht="12.75" customHeight="1" x14ac:dyDescent="0.2">
      <c r="A122" s="71">
        <v>101</v>
      </c>
      <c r="B122" s="17"/>
      <c r="C122" s="17"/>
      <c r="D122" s="487"/>
      <c r="E122" s="487"/>
      <c r="F122" s="487"/>
      <c r="G122" s="487"/>
      <c r="H122" s="17"/>
      <c r="I122" s="492"/>
      <c r="J122" s="489" t="str">
        <f>IFERROR(VLOOKUP($Q122,FeeLookup!$J$5:$L$33,2,FALSE),"")</f>
        <v/>
      </c>
      <c r="K122" s="489" t="str">
        <f>IFERROR(VLOOKUP($Q122,FeeLookup!$J$5:$L$33,3,FALSE),"")</f>
        <v/>
      </c>
      <c r="L122" s="413" t="s">
        <v>29</v>
      </c>
      <c r="M122" s="414">
        <v>101</v>
      </c>
      <c r="N122" s="5">
        <f t="shared" si="21"/>
        <v>0</v>
      </c>
      <c r="O122" s="12" t="str">
        <f t="shared" si="22"/>
        <v>TEF</v>
      </c>
      <c r="P122" s="12" t="str">
        <f t="shared" si="23"/>
        <v/>
      </c>
      <c r="Q122" s="13" t="str">
        <f t="shared" si="24"/>
        <v>_TEF_</v>
      </c>
      <c r="R122" s="13" t="str">
        <f t="shared" si="25"/>
        <v/>
      </c>
      <c r="S122" s="12" t="str">
        <f t="shared" si="26"/>
        <v/>
      </c>
      <c r="T122" s="12" t="str">
        <f t="shared" si="18"/>
        <v/>
      </c>
      <c r="U122" s="12" t="str">
        <f t="shared" si="34"/>
        <v>NO</v>
      </c>
      <c r="V122" s="14" t="str">
        <f t="shared" si="27"/>
        <v/>
      </c>
      <c r="W122" s="14" t="str">
        <f t="shared" si="28"/>
        <v/>
      </c>
      <c r="X122" s="14" t="str">
        <f t="shared" si="29"/>
        <v/>
      </c>
      <c r="Y122" s="15" t="str">
        <f t="shared" si="20"/>
        <v/>
      </c>
      <c r="Z122" s="342">
        <f t="shared" si="30"/>
        <v>0</v>
      </c>
      <c r="AA122" s="342">
        <f t="shared" si="31"/>
        <v>0</v>
      </c>
      <c r="AB122" s="342">
        <f t="shared" si="32"/>
        <v>0</v>
      </c>
      <c r="AC122" s="342">
        <f t="shared" si="33"/>
        <v>0</v>
      </c>
    </row>
    <row r="123" spans="1:29" ht="12.75" customHeight="1" x14ac:dyDescent="0.2">
      <c r="A123" s="71">
        <v>102</v>
      </c>
      <c r="B123" s="17"/>
      <c r="C123" s="17"/>
      <c r="D123" s="487"/>
      <c r="E123" s="487"/>
      <c r="F123" s="487"/>
      <c r="G123" s="487"/>
      <c r="H123" s="17"/>
      <c r="I123" s="492"/>
      <c r="J123" s="489" t="str">
        <f>IFERROR(VLOOKUP($Q123,FeeLookup!$J$5:$L$33,2,FALSE),"")</f>
        <v/>
      </c>
      <c r="K123" s="489" t="str">
        <f>IFERROR(VLOOKUP($Q123,FeeLookup!$J$5:$L$33,3,FALSE),"")</f>
        <v/>
      </c>
      <c r="L123" s="413" t="s">
        <v>29</v>
      </c>
      <c r="M123" s="414">
        <v>102</v>
      </c>
      <c r="N123" s="5">
        <f t="shared" si="21"/>
        <v>0</v>
      </c>
      <c r="O123" s="12" t="str">
        <f t="shared" si="22"/>
        <v>TEF</v>
      </c>
      <c r="P123" s="12" t="str">
        <f t="shared" si="23"/>
        <v/>
      </c>
      <c r="Q123" s="13" t="str">
        <f t="shared" si="24"/>
        <v>_TEF_</v>
      </c>
      <c r="R123" s="13" t="str">
        <f t="shared" si="25"/>
        <v/>
      </c>
      <c r="S123" s="12" t="str">
        <f t="shared" si="26"/>
        <v/>
      </c>
      <c r="T123" s="12" t="str">
        <f t="shared" si="18"/>
        <v/>
      </c>
      <c r="U123" s="12" t="str">
        <f t="shared" si="34"/>
        <v>NO</v>
      </c>
      <c r="V123" s="14" t="str">
        <f t="shared" si="27"/>
        <v/>
      </c>
      <c r="W123" s="14" t="str">
        <f t="shared" si="28"/>
        <v/>
      </c>
      <c r="X123" s="14" t="str">
        <f t="shared" si="29"/>
        <v/>
      </c>
      <c r="Y123" s="15" t="str">
        <f t="shared" si="20"/>
        <v/>
      </c>
      <c r="Z123" s="342">
        <f t="shared" si="30"/>
        <v>0</v>
      </c>
      <c r="AA123" s="342">
        <f t="shared" si="31"/>
        <v>0</v>
      </c>
      <c r="AB123" s="342">
        <f t="shared" si="32"/>
        <v>0</v>
      </c>
      <c r="AC123" s="342">
        <f t="shared" si="33"/>
        <v>0</v>
      </c>
    </row>
    <row r="124" spans="1:29" ht="12.75" customHeight="1" x14ac:dyDescent="0.2">
      <c r="A124" s="71">
        <v>103</v>
      </c>
      <c r="B124" s="17"/>
      <c r="C124" s="17"/>
      <c r="D124" s="487"/>
      <c r="E124" s="487"/>
      <c r="F124" s="487"/>
      <c r="G124" s="487"/>
      <c r="H124" s="17"/>
      <c r="I124" s="492"/>
      <c r="J124" s="489" t="str">
        <f>IFERROR(VLOOKUP($Q124,FeeLookup!$J$5:$L$33,2,FALSE),"")</f>
        <v/>
      </c>
      <c r="K124" s="489" t="str">
        <f>IFERROR(VLOOKUP($Q124,FeeLookup!$J$5:$L$33,3,FALSE),"")</f>
        <v/>
      </c>
      <c r="L124" s="413" t="s">
        <v>29</v>
      </c>
      <c r="M124" s="414">
        <v>103</v>
      </c>
      <c r="N124" s="5">
        <f t="shared" si="21"/>
        <v>0</v>
      </c>
      <c r="O124" s="12" t="str">
        <f t="shared" si="22"/>
        <v>TEF</v>
      </c>
      <c r="P124" s="12" t="str">
        <f t="shared" si="23"/>
        <v/>
      </c>
      <c r="Q124" s="13" t="str">
        <f t="shared" si="24"/>
        <v>_TEF_</v>
      </c>
      <c r="R124" s="13" t="str">
        <f t="shared" si="25"/>
        <v/>
      </c>
      <c r="S124" s="12" t="str">
        <f t="shared" si="26"/>
        <v/>
      </c>
      <c r="T124" s="12" t="str">
        <f t="shared" si="18"/>
        <v/>
      </c>
      <c r="U124" s="12" t="str">
        <f t="shared" si="34"/>
        <v>NO</v>
      </c>
      <c r="V124" s="14" t="str">
        <f t="shared" si="27"/>
        <v/>
      </c>
      <c r="W124" s="14" t="str">
        <f t="shared" si="28"/>
        <v/>
      </c>
      <c r="X124" s="14" t="str">
        <f t="shared" si="29"/>
        <v/>
      </c>
      <c r="Y124" s="15" t="str">
        <f t="shared" si="20"/>
        <v/>
      </c>
      <c r="Z124" s="342">
        <f t="shared" si="30"/>
        <v>0</v>
      </c>
      <c r="AA124" s="342">
        <f t="shared" si="31"/>
        <v>0</v>
      </c>
      <c r="AB124" s="342">
        <f t="shared" si="32"/>
        <v>0</v>
      </c>
      <c r="AC124" s="342">
        <f t="shared" si="33"/>
        <v>0</v>
      </c>
    </row>
    <row r="125" spans="1:29" ht="12.75" customHeight="1" x14ac:dyDescent="0.2">
      <c r="A125" s="71">
        <v>104</v>
      </c>
      <c r="B125" s="17"/>
      <c r="C125" s="17"/>
      <c r="D125" s="487"/>
      <c r="E125" s="487"/>
      <c r="F125" s="487"/>
      <c r="G125" s="487"/>
      <c r="H125" s="17"/>
      <c r="I125" s="492"/>
      <c r="J125" s="489" t="str">
        <f>IFERROR(VLOOKUP($Q125,FeeLookup!$J$5:$L$33,2,FALSE),"")</f>
        <v/>
      </c>
      <c r="K125" s="489" t="str">
        <f>IFERROR(VLOOKUP($Q125,FeeLookup!$J$5:$L$33,3,FALSE),"")</f>
        <v/>
      </c>
      <c r="L125" s="413" t="s">
        <v>29</v>
      </c>
      <c r="M125" s="414">
        <v>104</v>
      </c>
      <c r="N125" s="5">
        <f t="shared" si="21"/>
        <v>0</v>
      </c>
      <c r="O125" s="12" t="str">
        <f t="shared" si="22"/>
        <v>TEF</v>
      </c>
      <c r="P125" s="12" t="str">
        <f t="shared" si="23"/>
        <v/>
      </c>
      <c r="Q125" s="13" t="str">
        <f t="shared" si="24"/>
        <v>_TEF_</v>
      </c>
      <c r="R125" s="13" t="str">
        <f t="shared" si="25"/>
        <v/>
      </c>
      <c r="S125" s="12" t="str">
        <f t="shared" si="26"/>
        <v/>
      </c>
      <c r="T125" s="12" t="str">
        <f t="shared" si="18"/>
        <v/>
      </c>
      <c r="U125" s="12" t="str">
        <f t="shared" si="34"/>
        <v>NO</v>
      </c>
      <c r="V125" s="14" t="str">
        <f t="shared" si="27"/>
        <v/>
      </c>
      <c r="W125" s="14" t="str">
        <f t="shared" si="28"/>
        <v/>
      </c>
      <c r="X125" s="14" t="str">
        <f t="shared" si="29"/>
        <v/>
      </c>
      <c r="Y125" s="15" t="str">
        <f t="shared" si="20"/>
        <v/>
      </c>
      <c r="Z125" s="342">
        <f t="shared" si="30"/>
        <v>0</v>
      </c>
      <c r="AA125" s="342">
        <f t="shared" si="31"/>
        <v>0</v>
      </c>
      <c r="AB125" s="342">
        <f t="shared" si="32"/>
        <v>0</v>
      </c>
      <c r="AC125" s="342">
        <f t="shared" si="33"/>
        <v>0</v>
      </c>
    </row>
    <row r="126" spans="1:29" ht="12.75" customHeight="1" x14ac:dyDescent="0.2">
      <c r="A126" s="71">
        <v>105</v>
      </c>
      <c r="B126" s="17"/>
      <c r="C126" s="17"/>
      <c r="D126" s="487"/>
      <c r="E126" s="487"/>
      <c r="F126" s="487"/>
      <c r="G126" s="487"/>
      <c r="H126" s="17"/>
      <c r="I126" s="492"/>
      <c r="J126" s="489" t="str">
        <f>IFERROR(VLOOKUP($Q126,FeeLookup!$J$5:$L$33,2,FALSE),"")</f>
        <v/>
      </c>
      <c r="K126" s="489" t="str">
        <f>IFERROR(VLOOKUP($Q126,FeeLookup!$J$5:$L$33,3,FALSE),"")</f>
        <v/>
      </c>
      <c r="L126" s="413" t="s">
        <v>29</v>
      </c>
      <c r="M126" s="414">
        <v>105</v>
      </c>
      <c r="N126" s="5">
        <f t="shared" si="21"/>
        <v>0</v>
      </c>
      <c r="O126" s="12" t="str">
        <f t="shared" si="22"/>
        <v>TEF</v>
      </c>
      <c r="P126" s="12" t="str">
        <f t="shared" si="23"/>
        <v/>
      </c>
      <c r="Q126" s="13" t="str">
        <f t="shared" si="24"/>
        <v>_TEF_</v>
      </c>
      <c r="R126" s="13" t="str">
        <f t="shared" si="25"/>
        <v/>
      </c>
      <c r="S126" s="12" t="str">
        <f t="shared" si="26"/>
        <v/>
      </c>
      <c r="T126" s="12" t="str">
        <f t="shared" si="18"/>
        <v/>
      </c>
      <c r="U126" s="12" t="str">
        <f t="shared" si="34"/>
        <v>NO</v>
      </c>
      <c r="V126" s="14" t="str">
        <f t="shared" si="27"/>
        <v/>
      </c>
      <c r="W126" s="14" t="str">
        <f t="shared" si="28"/>
        <v/>
      </c>
      <c r="X126" s="14" t="str">
        <f t="shared" si="29"/>
        <v/>
      </c>
      <c r="Y126" s="15" t="str">
        <f t="shared" si="20"/>
        <v/>
      </c>
      <c r="Z126" s="342">
        <f t="shared" si="30"/>
        <v>0</v>
      </c>
      <c r="AA126" s="342">
        <f t="shared" si="31"/>
        <v>0</v>
      </c>
      <c r="AB126" s="342">
        <f t="shared" si="32"/>
        <v>0</v>
      </c>
      <c r="AC126" s="342">
        <f t="shared" si="33"/>
        <v>0</v>
      </c>
    </row>
    <row r="127" spans="1:29" ht="12.75" customHeight="1" x14ac:dyDescent="0.2">
      <c r="A127" s="71">
        <v>106</v>
      </c>
      <c r="B127" s="17"/>
      <c r="C127" s="17"/>
      <c r="D127" s="487"/>
      <c r="E127" s="487"/>
      <c r="F127" s="487"/>
      <c r="G127" s="487"/>
      <c r="H127" s="17"/>
      <c r="I127" s="492"/>
      <c r="J127" s="489" t="str">
        <f>IFERROR(VLOOKUP($Q127,FeeLookup!$J$5:$L$33,2,FALSE),"")</f>
        <v/>
      </c>
      <c r="K127" s="489" t="str">
        <f>IFERROR(VLOOKUP($Q127,FeeLookup!$J$5:$L$33,3,FALSE),"")</f>
        <v/>
      </c>
      <c r="L127" s="413" t="s">
        <v>29</v>
      </c>
      <c r="M127" s="414">
        <v>106</v>
      </c>
      <c r="N127" s="5">
        <f t="shared" si="21"/>
        <v>0</v>
      </c>
      <c r="O127" s="12" t="str">
        <f t="shared" si="22"/>
        <v>TEF</v>
      </c>
      <c r="P127" s="12" t="str">
        <f t="shared" si="23"/>
        <v/>
      </c>
      <c r="Q127" s="13" t="str">
        <f t="shared" si="24"/>
        <v>_TEF_</v>
      </c>
      <c r="R127" s="13" t="str">
        <f t="shared" si="25"/>
        <v/>
      </c>
      <c r="S127" s="12" t="str">
        <f t="shared" si="26"/>
        <v/>
      </c>
      <c r="T127" s="12" t="str">
        <f t="shared" si="18"/>
        <v/>
      </c>
      <c r="U127" s="12" t="str">
        <f t="shared" si="34"/>
        <v>NO</v>
      </c>
      <c r="V127" s="14" t="str">
        <f t="shared" si="27"/>
        <v/>
      </c>
      <c r="W127" s="14" t="str">
        <f t="shared" si="28"/>
        <v/>
      </c>
      <c r="X127" s="14" t="str">
        <f t="shared" si="29"/>
        <v/>
      </c>
      <c r="Y127" s="15" t="str">
        <f t="shared" si="20"/>
        <v/>
      </c>
      <c r="Z127" s="342">
        <f t="shared" si="30"/>
        <v>0</v>
      </c>
      <c r="AA127" s="342">
        <f t="shared" si="31"/>
        <v>0</v>
      </c>
      <c r="AB127" s="342">
        <f t="shared" si="32"/>
        <v>0</v>
      </c>
      <c r="AC127" s="342">
        <f t="shared" si="33"/>
        <v>0</v>
      </c>
    </row>
    <row r="128" spans="1:29" ht="12.75" customHeight="1" x14ac:dyDescent="0.2">
      <c r="A128" s="71">
        <v>107</v>
      </c>
      <c r="B128" s="17"/>
      <c r="C128" s="17"/>
      <c r="D128" s="487"/>
      <c r="E128" s="487"/>
      <c r="F128" s="487"/>
      <c r="G128" s="487"/>
      <c r="H128" s="17"/>
      <c r="I128" s="492"/>
      <c r="J128" s="489" t="str">
        <f>IFERROR(VLOOKUP($Q128,FeeLookup!$J$5:$L$33,2,FALSE),"")</f>
        <v/>
      </c>
      <c r="K128" s="489" t="str">
        <f>IFERROR(VLOOKUP($Q128,FeeLookup!$J$5:$L$33,3,FALSE),"")</f>
        <v/>
      </c>
      <c r="L128" s="413" t="s">
        <v>29</v>
      </c>
      <c r="M128" s="414">
        <v>107</v>
      </c>
      <c r="N128" s="5">
        <f t="shared" si="21"/>
        <v>0</v>
      </c>
      <c r="O128" s="12" t="str">
        <f t="shared" si="22"/>
        <v>TEF</v>
      </c>
      <c r="P128" s="12" t="str">
        <f t="shared" si="23"/>
        <v/>
      </c>
      <c r="Q128" s="13" t="str">
        <f t="shared" si="24"/>
        <v>_TEF_</v>
      </c>
      <c r="R128" s="13" t="str">
        <f t="shared" si="25"/>
        <v/>
      </c>
      <c r="S128" s="12" t="str">
        <f t="shared" si="26"/>
        <v/>
      </c>
      <c r="T128" s="12" t="str">
        <f t="shared" si="18"/>
        <v/>
      </c>
      <c r="U128" s="12" t="str">
        <f t="shared" si="34"/>
        <v>NO</v>
      </c>
      <c r="V128" s="14" t="str">
        <f t="shared" si="27"/>
        <v/>
      </c>
      <c r="W128" s="14" t="str">
        <f t="shared" si="28"/>
        <v/>
      </c>
      <c r="X128" s="14" t="str">
        <f t="shared" si="29"/>
        <v/>
      </c>
      <c r="Y128" s="15" t="str">
        <f t="shared" si="20"/>
        <v/>
      </c>
      <c r="Z128" s="342">
        <f t="shared" si="30"/>
        <v>0</v>
      </c>
      <c r="AA128" s="342">
        <f t="shared" si="31"/>
        <v>0</v>
      </c>
      <c r="AB128" s="342">
        <f t="shared" si="32"/>
        <v>0</v>
      </c>
      <c r="AC128" s="342">
        <f t="shared" si="33"/>
        <v>0</v>
      </c>
    </row>
    <row r="129" spans="1:29" ht="12.75" customHeight="1" x14ac:dyDescent="0.2">
      <c r="A129" s="71">
        <v>108</v>
      </c>
      <c r="B129" s="17"/>
      <c r="C129" s="17"/>
      <c r="D129" s="487"/>
      <c r="E129" s="487"/>
      <c r="F129" s="487"/>
      <c r="G129" s="487"/>
      <c r="H129" s="17"/>
      <c r="I129" s="492"/>
      <c r="J129" s="489" t="str">
        <f>IFERROR(VLOOKUP($Q129,FeeLookup!$J$5:$L$33,2,FALSE),"")</f>
        <v/>
      </c>
      <c r="K129" s="489" t="str">
        <f>IFERROR(VLOOKUP($Q129,FeeLookup!$J$5:$L$33,3,FALSE),"")</f>
        <v/>
      </c>
      <c r="L129" s="413" t="s">
        <v>29</v>
      </c>
      <c r="M129" s="414">
        <v>108</v>
      </c>
      <c r="N129" s="5">
        <f t="shared" si="21"/>
        <v>0</v>
      </c>
      <c r="O129" s="12" t="str">
        <f t="shared" si="22"/>
        <v>TEF</v>
      </c>
      <c r="P129" s="12" t="str">
        <f t="shared" si="23"/>
        <v/>
      </c>
      <c r="Q129" s="13" t="str">
        <f t="shared" si="24"/>
        <v>_TEF_</v>
      </c>
      <c r="R129" s="13" t="str">
        <f t="shared" si="25"/>
        <v/>
      </c>
      <c r="S129" s="12" t="str">
        <f t="shared" si="26"/>
        <v/>
      </c>
      <c r="T129" s="12" t="str">
        <f t="shared" si="18"/>
        <v/>
      </c>
      <c r="U129" s="12" t="str">
        <f t="shared" si="34"/>
        <v>NO</v>
      </c>
      <c r="V129" s="14" t="str">
        <f t="shared" si="27"/>
        <v/>
      </c>
      <c r="W129" s="14" t="str">
        <f t="shared" si="28"/>
        <v/>
      </c>
      <c r="X129" s="14" t="str">
        <f t="shared" si="29"/>
        <v/>
      </c>
      <c r="Y129" s="15" t="str">
        <f t="shared" si="20"/>
        <v/>
      </c>
      <c r="Z129" s="342">
        <f t="shared" si="30"/>
        <v>0</v>
      </c>
      <c r="AA129" s="342">
        <f t="shared" si="31"/>
        <v>0</v>
      </c>
      <c r="AB129" s="342">
        <f t="shared" si="32"/>
        <v>0</v>
      </c>
      <c r="AC129" s="342">
        <f t="shared" si="33"/>
        <v>0</v>
      </c>
    </row>
    <row r="130" spans="1:29" ht="12.75" customHeight="1" x14ac:dyDescent="0.2">
      <c r="A130" s="71">
        <v>109</v>
      </c>
      <c r="B130" s="17"/>
      <c r="C130" s="17"/>
      <c r="D130" s="487"/>
      <c r="E130" s="487"/>
      <c r="F130" s="487"/>
      <c r="G130" s="487"/>
      <c r="H130" s="17"/>
      <c r="I130" s="492"/>
      <c r="J130" s="489" t="str">
        <f>IFERROR(VLOOKUP($Q130,FeeLookup!$J$5:$L$33,2,FALSE),"")</f>
        <v/>
      </c>
      <c r="K130" s="489" t="str">
        <f>IFERROR(VLOOKUP($Q130,FeeLookup!$J$5:$L$33,3,FALSE),"")</f>
        <v/>
      </c>
      <c r="L130" s="413" t="s">
        <v>29</v>
      </c>
      <c r="M130" s="414">
        <v>109</v>
      </c>
      <c r="N130" s="5">
        <f t="shared" si="21"/>
        <v>0</v>
      </c>
      <c r="O130" s="12" t="str">
        <f t="shared" si="22"/>
        <v>TEF</v>
      </c>
      <c r="P130" s="12" t="str">
        <f t="shared" si="23"/>
        <v/>
      </c>
      <c r="Q130" s="13" t="str">
        <f t="shared" si="24"/>
        <v>_TEF_</v>
      </c>
      <c r="R130" s="13" t="str">
        <f t="shared" si="25"/>
        <v/>
      </c>
      <c r="S130" s="12" t="str">
        <f t="shared" si="26"/>
        <v/>
      </c>
      <c r="T130" s="12" t="str">
        <f t="shared" si="18"/>
        <v/>
      </c>
      <c r="U130" s="12" t="str">
        <f t="shared" si="34"/>
        <v>NO</v>
      </c>
      <c r="V130" s="14" t="str">
        <f t="shared" si="27"/>
        <v/>
      </c>
      <c r="W130" s="14" t="str">
        <f t="shared" si="28"/>
        <v/>
      </c>
      <c r="X130" s="14" t="str">
        <f t="shared" si="29"/>
        <v/>
      </c>
      <c r="Y130" s="15" t="str">
        <f t="shared" si="20"/>
        <v/>
      </c>
      <c r="Z130" s="342">
        <f t="shared" si="30"/>
        <v>0</v>
      </c>
      <c r="AA130" s="342">
        <f t="shared" si="31"/>
        <v>0</v>
      </c>
      <c r="AB130" s="342">
        <f t="shared" si="32"/>
        <v>0</v>
      </c>
      <c r="AC130" s="342">
        <f t="shared" si="33"/>
        <v>0</v>
      </c>
    </row>
    <row r="131" spans="1:29" ht="12.75" customHeight="1" x14ac:dyDescent="0.2">
      <c r="A131" s="71">
        <v>110</v>
      </c>
      <c r="B131" s="17"/>
      <c r="C131" s="17"/>
      <c r="D131" s="487"/>
      <c r="E131" s="487"/>
      <c r="F131" s="487"/>
      <c r="G131" s="487"/>
      <c r="H131" s="17"/>
      <c r="I131" s="492"/>
      <c r="J131" s="489" t="str">
        <f>IFERROR(VLOOKUP($Q131,FeeLookup!$J$5:$L$33,2,FALSE),"")</f>
        <v/>
      </c>
      <c r="K131" s="489" t="str">
        <f>IFERROR(VLOOKUP($Q131,FeeLookup!$J$5:$L$33,3,FALSE),"")</f>
        <v/>
      </c>
      <c r="L131" s="413" t="s">
        <v>29</v>
      </c>
      <c r="M131" s="414">
        <v>110</v>
      </c>
      <c r="N131" s="5">
        <f t="shared" si="21"/>
        <v>0</v>
      </c>
      <c r="O131" s="12" t="str">
        <f t="shared" si="22"/>
        <v>TEF</v>
      </c>
      <c r="P131" s="12" t="str">
        <f t="shared" si="23"/>
        <v/>
      </c>
      <c r="Q131" s="13" t="str">
        <f t="shared" si="24"/>
        <v>_TEF_</v>
      </c>
      <c r="R131" s="13" t="str">
        <f t="shared" si="25"/>
        <v/>
      </c>
      <c r="S131" s="12" t="str">
        <f t="shared" si="26"/>
        <v/>
      </c>
      <c r="T131" s="12" t="str">
        <f t="shared" si="18"/>
        <v/>
      </c>
      <c r="U131" s="12" t="str">
        <f t="shared" si="34"/>
        <v>NO</v>
      </c>
      <c r="V131" s="14" t="str">
        <f t="shared" si="27"/>
        <v/>
      </c>
      <c r="W131" s="14" t="str">
        <f t="shared" si="28"/>
        <v/>
      </c>
      <c r="X131" s="14" t="str">
        <f t="shared" si="29"/>
        <v/>
      </c>
      <c r="Y131" s="15" t="str">
        <f t="shared" si="20"/>
        <v/>
      </c>
      <c r="Z131" s="342">
        <f t="shared" si="30"/>
        <v>0</v>
      </c>
      <c r="AA131" s="342">
        <f t="shared" si="31"/>
        <v>0</v>
      </c>
      <c r="AB131" s="342">
        <f t="shared" si="32"/>
        <v>0</v>
      </c>
      <c r="AC131" s="342">
        <f t="shared" si="33"/>
        <v>0</v>
      </c>
    </row>
    <row r="132" spans="1:29" ht="12.75" customHeight="1" x14ac:dyDescent="0.2">
      <c r="A132" s="71">
        <v>111</v>
      </c>
      <c r="B132" s="17"/>
      <c r="C132" s="17"/>
      <c r="D132" s="487"/>
      <c r="E132" s="487"/>
      <c r="F132" s="487"/>
      <c r="G132" s="487"/>
      <c r="H132" s="17"/>
      <c r="I132" s="492"/>
      <c r="J132" s="489" t="str">
        <f>IFERROR(VLOOKUP($Q132,FeeLookup!$J$5:$L$33,2,FALSE),"")</f>
        <v/>
      </c>
      <c r="K132" s="489" t="str">
        <f>IFERROR(VLOOKUP($Q132,FeeLookup!$J$5:$L$33,3,FALSE),"")</f>
        <v/>
      </c>
      <c r="L132" s="413" t="s">
        <v>29</v>
      </c>
      <c r="M132" s="414">
        <v>111</v>
      </c>
      <c r="N132" s="5">
        <f t="shared" si="21"/>
        <v>0</v>
      </c>
      <c r="O132" s="12" t="str">
        <f t="shared" si="22"/>
        <v>TEF</v>
      </c>
      <c r="P132" s="12" t="str">
        <f t="shared" si="23"/>
        <v/>
      </c>
      <c r="Q132" s="13" t="str">
        <f t="shared" si="24"/>
        <v>_TEF_</v>
      </c>
      <c r="R132" s="13" t="str">
        <f t="shared" si="25"/>
        <v/>
      </c>
      <c r="S132" s="12" t="str">
        <f t="shared" si="26"/>
        <v/>
      </c>
      <c r="T132" s="12" t="str">
        <f t="shared" si="18"/>
        <v/>
      </c>
      <c r="U132" s="12" t="str">
        <f t="shared" si="34"/>
        <v>NO</v>
      </c>
      <c r="V132" s="14" t="str">
        <f t="shared" si="27"/>
        <v/>
      </c>
      <c r="W132" s="14" t="str">
        <f t="shared" si="28"/>
        <v/>
      </c>
      <c r="X132" s="14" t="str">
        <f t="shared" si="29"/>
        <v/>
      </c>
      <c r="Y132" s="15" t="str">
        <f t="shared" si="20"/>
        <v/>
      </c>
      <c r="Z132" s="342">
        <f t="shared" si="30"/>
        <v>0</v>
      </c>
      <c r="AA132" s="342">
        <f t="shared" si="31"/>
        <v>0</v>
      </c>
      <c r="AB132" s="342">
        <f t="shared" si="32"/>
        <v>0</v>
      </c>
      <c r="AC132" s="342">
        <f t="shared" si="33"/>
        <v>0</v>
      </c>
    </row>
    <row r="133" spans="1:29" ht="12.75" customHeight="1" x14ac:dyDescent="0.2">
      <c r="A133" s="71">
        <v>112</v>
      </c>
      <c r="B133" s="17"/>
      <c r="C133" s="17"/>
      <c r="D133" s="487"/>
      <c r="E133" s="487"/>
      <c r="F133" s="487"/>
      <c r="G133" s="487"/>
      <c r="H133" s="17"/>
      <c r="I133" s="492"/>
      <c r="J133" s="489" t="str">
        <f>IFERROR(VLOOKUP($Q133,FeeLookup!$J$5:$L$33,2,FALSE),"")</f>
        <v/>
      </c>
      <c r="K133" s="489" t="str">
        <f>IFERROR(VLOOKUP($Q133,FeeLookup!$J$5:$L$33,3,FALSE),"")</f>
        <v/>
      </c>
      <c r="L133" s="413" t="s">
        <v>29</v>
      </c>
      <c r="M133" s="414">
        <v>112</v>
      </c>
      <c r="N133" s="5">
        <f t="shared" si="21"/>
        <v>0</v>
      </c>
      <c r="O133" s="12" t="str">
        <f t="shared" si="22"/>
        <v>TEF</v>
      </c>
      <c r="P133" s="12" t="str">
        <f t="shared" si="23"/>
        <v/>
      </c>
      <c r="Q133" s="13" t="str">
        <f t="shared" si="24"/>
        <v>_TEF_</v>
      </c>
      <c r="R133" s="13" t="str">
        <f t="shared" si="25"/>
        <v/>
      </c>
      <c r="S133" s="12" t="str">
        <f t="shared" si="26"/>
        <v/>
      </c>
      <c r="T133" s="12" t="str">
        <f t="shared" si="18"/>
        <v/>
      </c>
      <c r="U133" s="12" t="str">
        <f t="shared" si="34"/>
        <v>NO</v>
      </c>
      <c r="V133" s="14" t="str">
        <f t="shared" si="27"/>
        <v/>
      </c>
      <c r="W133" s="14" t="str">
        <f t="shared" si="28"/>
        <v/>
      </c>
      <c r="X133" s="14" t="str">
        <f t="shared" si="29"/>
        <v/>
      </c>
      <c r="Y133" s="15" t="str">
        <f t="shared" si="20"/>
        <v/>
      </c>
      <c r="Z133" s="342">
        <f t="shared" si="30"/>
        <v>0</v>
      </c>
      <c r="AA133" s="342">
        <f t="shared" si="31"/>
        <v>0</v>
      </c>
      <c r="AB133" s="342">
        <f t="shared" si="32"/>
        <v>0</v>
      </c>
      <c r="AC133" s="342">
        <f t="shared" si="33"/>
        <v>0</v>
      </c>
    </row>
    <row r="134" spans="1:29" ht="12.75" customHeight="1" x14ac:dyDescent="0.2">
      <c r="A134" s="71">
        <v>113</v>
      </c>
      <c r="B134" s="17"/>
      <c r="C134" s="17"/>
      <c r="D134" s="487"/>
      <c r="E134" s="487"/>
      <c r="F134" s="487"/>
      <c r="G134" s="487"/>
      <c r="H134" s="17"/>
      <c r="I134" s="492"/>
      <c r="J134" s="489" t="str">
        <f>IFERROR(VLOOKUP($Q134,FeeLookup!$J$5:$L$33,2,FALSE),"")</f>
        <v/>
      </c>
      <c r="K134" s="489" t="str">
        <f>IFERROR(VLOOKUP($Q134,FeeLookup!$J$5:$L$33,3,FALSE),"")</f>
        <v/>
      </c>
      <c r="L134" s="413" t="s">
        <v>29</v>
      </c>
      <c r="M134" s="414">
        <v>113</v>
      </c>
      <c r="N134" s="5">
        <f t="shared" si="21"/>
        <v>0</v>
      </c>
      <c r="O134" s="12" t="str">
        <f t="shared" si="22"/>
        <v>TEF</v>
      </c>
      <c r="P134" s="12" t="str">
        <f t="shared" si="23"/>
        <v/>
      </c>
      <c r="Q134" s="13" t="str">
        <f t="shared" si="24"/>
        <v>_TEF_</v>
      </c>
      <c r="R134" s="13" t="str">
        <f t="shared" si="25"/>
        <v/>
      </c>
      <c r="S134" s="12" t="str">
        <f t="shared" si="26"/>
        <v/>
      </c>
      <c r="T134" s="12" t="str">
        <f t="shared" si="18"/>
        <v/>
      </c>
      <c r="U134" s="12" t="str">
        <f t="shared" si="34"/>
        <v>NO</v>
      </c>
      <c r="V134" s="14" t="str">
        <f t="shared" si="27"/>
        <v/>
      </c>
      <c r="W134" s="14" t="str">
        <f t="shared" si="28"/>
        <v/>
      </c>
      <c r="X134" s="14" t="str">
        <f t="shared" si="29"/>
        <v/>
      </c>
      <c r="Y134" s="15" t="str">
        <f t="shared" si="20"/>
        <v/>
      </c>
      <c r="Z134" s="342">
        <f t="shared" si="30"/>
        <v>0</v>
      </c>
      <c r="AA134" s="342">
        <f t="shared" si="31"/>
        <v>0</v>
      </c>
      <c r="AB134" s="342">
        <f t="shared" si="32"/>
        <v>0</v>
      </c>
      <c r="AC134" s="342">
        <f t="shared" si="33"/>
        <v>0</v>
      </c>
    </row>
    <row r="135" spans="1:29" ht="12.75" customHeight="1" x14ac:dyDescent="0.2">
      <c r="A135" s="71">
        <v>114</v>
      </c>
      <c r="B135" s="17"/>
      <c r="C135" s="17"/>
      <c r="D135" s="487"/>
      <c r="E135" s="487"/>
      <c r="F135" s="487"/>
      <c r="G135" s="487"/>
      <c r="H135" s="17"/>
      <c r="I135" s="492"/>
      <c r="J135" s="489" t="str">
        <f>IFERROR(VLOOKUP($Q135,FeeLookup!$J$5:$L$33,2,FALSE),"")</f>
        <v/>
      </c>
      <c r="K135" s="489" t="str">
        <f>IFERROR(VLOOKUP($Q135,FeeLookup!$J$5:$L$33,3,FALSE),"")</f>
        <v/>
      </c>
      <c r="L135" s="413" t="s">
        <v>29</v>
      </c>
      <c r="M135" s="414">
        <v>114</v>
      </c>
      <c r="N135" s="5">
        <f t="shared" si="21"/>
        <v>0</v>
      </c>
      <c r="O135" s="12" t="str">
        <f t="shared" si="22"/>
        <v>TEF</v>
      </c>
      <c r="P135" s="12" t="str">
        <f t="shared" si="23"/>
        <v/>
      </c>
      <c r="Q135" s="13" t="str">
        <f t="shared" si="24"/>
        <v>_TEF_</v>
      </c>
      <c r="R135" s="13" t="str">
        <f t="shared" si="25"/>
        <v/>
      </c>
      <c r="S135" s="12" t="str">
        <f t="shared" si="26"/>
        <v/>
      </c>
      <c r="T135" s="12" t="str">
        <f t="shared" si="18"/>
        <v/>
      </c>
      <c r="U135" s="12" t="str">
        <f t="shared" si="34"/>
        <v>NO</v>
      </c>
      <c r="V135" s="14" t="str">
        <f t="shared" si="27"/>
        <v/>
      </c>
      <c r="W135" s="14" t="str">
        <f t="shared" si="28"/>
        <v/>
      </c>
      <c r="X135" s="14" t="str">
        <f t="shared" si="29"/>
        <v/>
      </c>
      <c r="Y135" s="15" t="str">
        <f t="shared" si="20"/>
        <v/>
      </c>
      <c r="Z135" s="342">
        <f t="shared" si="30"/>
        <v>0</v>
      </c>
      <c r="AA135" s="342">
        <f t="shared" si="31"/>
        <v>0</v>
      </c>
      <c r="AB135" s="342">
        <f t="shared" si="32"/>
        <v>0</v>
      </c>
      <c r="AC135" s="342">
        <f t="shared" si="33"/>
        <v>0</v>
      </c>
    </row>
    <row r="136" spans="1:29" ht="12.75" customHeight="1" x14ac:dyDescent="0.2">
      <c r="A136" s="71">
        <v>115</v>
      </c>
      <c r="B136" s="17"/>
      <c r="C136" s="17"/>
      <c r="D136" s="487"/>
      <c r="E136" s="487"/>
      <c r="F136" s="487"/>
      <c r="G136" s="487"/>
      <c r="H136" s="17"/>
      <c r="I136" s="492"/>
      <c r="J136" s="489" t="str">
        <f>IFERROR(VLOOKUP($Q136,FeeLookup!$J$5:$L$33,2,FALSE),"")</f>
        <v/>
      </c>
      <c r="K136" s="489" t="str">
        <f>IFERROR(VLOOKUP($Q136,FeeLookup!$J$5:$L$33,3,FALSE),"")</f>
        <v/>
      </c>
      <c r="L136" s="413" t="s">
        <v>29</v>
      </c>
      <c r="M136" s="414">
        <v>115</v>
      </c>
      <c r="N136" s="5">
        <f t="shared" si="21"/>
        <v>0</v>
      </c>
      <c r="O136" s="12" t="str">
        <f t="shared" si="22"/>
        <v>TEF</v>
      </c>
      <c r="P136" s="12" t="str">
        <f t="shared" si="23"/>
        <v/>
      </c>
      <c r="Q136" s="13" t="str">
        <f t="shared" si="24"/>
        <v>_TEF_</v>
      </c>
      <c r="R136" s="13" t="str">
        <f t="shared" si="25"/>
        <v/>
      </c>
      <c r="S136" s="12" t="str">
        <f t="shared" si="26"/>
        <v/>
      </c>
      <c r="T136" s="12" t="str">
        <f t="shared" si="18"/>
        <v/>
      </c>
      <c r="U136" s="12" t="str">
        <f t="shared" si="34"/>
        <v>NO</v>
      </c>
      <c r="V136" s="14" t="str">
        <f t="shared" si="27"/>
        <v/>
      </c>
      <c r="W136" s="14" t="str">
        <f t="shared" si="28"/>
        <v/>
      </c>
      <c r="X136" s="14" t="str">
        <f t="shared" si="29"/>
        <v/>
      </c>
      <c r="Y136" s="15" t="str">
        <f t="shared" si="20"/>
        <v/>
      </c>
      <c r="Z136" s="342">
        <f t="shared" si="30"/>
        <v>0</v>
      </c>
      <c r="AA136" s="342">
        <f t="shared" si="31"/>
        <v>0</v>
      </c>
      <c r="AB136" s="342">
        <f t="shared" si="32"/>
        <v>0</v>
      </c>
      <c r="AC136" s="342">
        <f t="shared" si="33"/>
        <v>0</v>
      </c>
    </row>
    <row r="137" spans="1:29" ht="12.75" customHeight="1" x14ac:dyDescent="0.2">
      <c r="A137" s="71">
        <v>116</v>
      </c>
      <c r="B137" s="17"/>
      <c r="C137" s="17"/>
      <c r="D137" s="487"/>
      <c r="E137" s="487"/>
      <c r="F137" s="487"/>
      <c r="G137" s="487"/>
      <c r="H137" s="17"/>
      <c r="I137" s="492"/>
      <c r="J137" s="489" t="str">
        <f>IFERROR(VLOOKUP($Q137,FeeLookup!$J$5:$L$33,2,FALSE),"")</f>
        <v/>
      </c>
      <c r="K137" s="489" t="str">
        <f>IFERROR(VLOOKUP($Q137,FeeLookup!$J$5:$L$33,3,FALSE),"")</f>
        <v/>
      </c>
      <c r="L137" s="413" t="s">
        <v>29</v>
      </c>
      <c r="M137" s="414">
        <v>116</v>
      </c>
      <c r="N137" s="5">
        <f t="shared" si="21"/>
        <v>0</v>
      </c>
      <c r="O137" s="12" t="str">
        <f t="shared" si="22"/>
        <v>TEF</v>
      </c>
      <c r="P137" s="12" t="str">
        <f t="shared" si="23"/>
        <v/>
      </c>
      <c r="Q137" s="13" t="str">
        <f t="shared" si="24"/>
        <v>_TEF_</v>
      </c>
      <c r="R137" s="13" t="str">
        <f t="shared" si="25"/>
        <v/>
      </c>
      <c r="S137" s="12" t="str">
        <f t="shared" si="26"/>
        <v/>
      </c>
      <c r="T137" s="12" t="str">
        <f t="shared" si="18"/>
        <v/>
      </c>
      <c r="U137" s="12" t="str">
        <f t="shared" si="34"/>
        <v>NO</v>
      </c>
      <c r="V137" s="14" t="str">
        <f t="shared" si="27"/>
        <v/>
      </c>
      <c r="W137" s="14" t="str">
        <f t="shared" si="28"/>
        <v/>
      </c>
      <c r="X137" s="14" t="str">
        <f t="shared" si="29"/>
        <v/>
      </c>
      <c r="Y137" s="15" t="str">
        <f t="shared" si="20"/>
        <v/>
      </c>
      <c r="Z137" s="342">
        <f t="shared" si="30"/>
        <v>0</v>
      </c>
      <c r="AA137" s="342">
        <f t="shared" si="31"/>
        <v>0</v>
      </c>
      <c r="AB137" s="342">
        <f t="shared" si="32"/>
        <v>0</v>
      </c>
      <c r="AC137" s="342">
        <f t="shared" si="33"/>
        <v>0</v>
      </c>
    </row>
    <row r="138" spans="1:29" ht="12.75" customHeight="1" x14ac:dyDescent="0.2">
      <c r="A138" s="71">
        <v>117</v>
      </c>
      <c r="B138" s="17"/>
      <c r="C138" s="17"/>
      <c r="D138" s="487"/>
      <c r="E138" s="487"/>
      <c r="F138" s="487"/>
      <c r="G138" s="487"/>
      <c r="H138" s="17"/>
      <c r="I138" s="492"/>
      <c r="J138" s="489" t="str">
        <f>IFERROR(VLOOKUP($Q138,FeeLookup!$J$5:$L$33,2,FALSE),"")</f>
        <v/>
      </c>
      <c r="K138" s="489" t="str">
        <f>IFERROR(VLOOKUP($Q138,FeeLookup!$J$5:$L$33,3,FALSE),"")</f>
        <v/>
      </c>
      <c r="L138" s="413" t="s">
        <v>29</v>
      </c>
      <c r="M138" s="414">
        <v>117</v>
      </c>
      <c r="N138" s="5">
        <f t="shared" si="21"/>
        <v>0</v>
      </c>
      <c r="O138" s="12" t="str">
        <f t="shared" si="22"/>
        <v>TEF</v>
      </c>
      <c r="P138" s="12" t="str">
        <f t="shared" si="23"/>
        <v/>
      </c>
      <c r="Q138" s="13" t="str">
        <f t="shared" si="24"/>
        <v>_TEF_</v>
      </c>
      <c r="R138" s="13" t="str">
        <f t="shared" si="25"/>
        <v/>
      </c>
      <c r="S138" s="12" t="str">
        <f t="shared" si="26"/>
        <v/>
      </c>
      <c r="T138" s="12" t="str">
        <f t="shared" si="18"/>
        <v/>
      </c>
      <c r="U138" s="12" t="str">
        <f t="shared" si="34"/>
        <v>NO</v>
      </c>
      <c r="V138" s="14" t="str">
        <f t="shared" si="27"/>
        <v/>
      </c>
      <c r="W138" s="14" t="str">
        <f t="shared" si="28"/>
        <v/>
      </c>
      <c r="X138" s="14" t="str">
        <f t="shared" si="29"/>
        <v/>
      </c>
      <c r="Y138" s="15" t="str">
        <f t="shared" si="20"/>
        <v/>
      </c>
      <c r="Z138" s="342">
        <f t="shared" si="30"/>
        <v>0</v>
      </c>
      <c r="AA138" s="342">
        <f t="shared" si="31"/>
        <v>0</v>
      </c>
      <c r="AB138" s="342">
        <f t="shared" si="32"/>
        <v>0</v>
      </c>
      <c r="AC138" s="342">
        <f t="shared" si="33"/>
        <v>0</v>
      </c>
    </row>
    <row r="139" spans="1:29" ht="12.75" customHeight="1" x14ac:dyDescent="0.2">
      <c r="A139" s="71">
        <v>118</v>
      </c>
      <c r="B139" s="17"/>
      <c r="C139" s="17"/>
      <c r="D139" s="487"/>
      <c r="E139" s="487"/>
      <c r="F139" s="487"/>
      <c r="G139" s="487"/>
      <c r="H139" s="17"/>
      <c r="I139" s="492"/>
      <c r="J139" s="489" t="str">
        <f>IFERROR(VLOOKUP($Q139,FeeLookup!$J$5:$L$33,2,FALSE),"")</f>
        <v/>
      </c>
      <c r="K139" s="489" t="str">
        <f>IFERROR(VLOOKUP($Q139,FeeLookup!$J$5:$L$33,3,FALSE),"")</f>
        <v/>
      </c>
      <c r="L139" s="413" t="s">
        <v>29</v>
      </c>
      <c r="M139" s="414">
        <v>118</v>
      </c>
      <c r="N139" s="5">
        <f t="shared" si="21"/>
        <v>0</v>
      </c>
      <c r="O139" s="12" t="str">
        <f t="shared" si="22"/>
        <v>TEF</v>
      </c>
      <c r="P139" s="12" t="str">
        <f t="shared" si="23"/>
        <v/>
      </c>
      <c r="Q139" s="13" t="str">
        <f t="shared" si="24"/>
        <v>_TEF_</v>
      </c>
      <c r="R139" s="13" t="str">
        <f t="shared" si="25"/>
        <v/>
      </c>
      <c r="S139" s="12" t="str">
        <f t="shared" si="26"/>
        <v/>
      </c>
      <c r="T139" s="12" t="str">
        <f t="shared" si="18"/>
        <v/>
      </c>
      <c r="U139" s="12" t="str">
        <f t="shared" si="34"/>
        <v>NO</v>
      </c>
      <c r="V139" s="14" t="str">
        <f t="shared" si="27"/>
        <v/>
      </c>
      <c r="W139" s="14" t="str">
        <f t="shared" si="28"/>
        <v/>
      </c>
      <c r="X139" s="14" t="str">
        <f t="shared" si="29"/>
        <v/>
      </c>
      <c r="Y139" s="15" t="str">
        <f t="shared" si="20"/>
        <v/>
      </c>
      <c r="Z139" s="342">
        <f t="shared" si="30"/>
        <v>0</v>
      </c>
      <c r="AA139" s="342">
        <f t="shared" si="31"/>
        <v>0</v>
      </c>
      <c r="AB139" s="342">
        <f t="shared" si="32"/>
        <v>0</v>
      </c>
      <c r="AC139" s="342">
        <f t="shared" si="33"/>
        <v>0</v>
      </c>
    </row>
    <row r="140" spans="1:29" ht="12.75" customHeight="1" x14ac:dyDescent="0.2">
      <c r="A140" s="71">
        <v>119</v>
      </c>
      <c r="B140" s="17"/>
      <c r="C140" s="17"/>
      <c r="D140" s="487"/>
      <c r="E140" s="487"/>
      <c r="F140" s="487"/>
      <c r="G140" s="487"/>
      <c r="H140" s="17"/>
      <c r="I140" s="492"/>
      <c r="J140" s="489" t="str">
        <f>IFERROR(VLOOKUP($Q140,FeeLookup!$J$5:$L$33,2,FALSE),"")</f>
        <v/>
      </c>
      <c r="K140" s="489" t="str">
        <f>IFERROR(VLOOKUP($Q140,FeeLookup!$J$5:$L$33,3,FALSE),"")</f>
        <v/>
      </c>
      <c r="L140" s="413" t="s">
        <v>29</v>
      </c>
      <c r="M140" s="414">
        <v>119</v>
      </c>
      <c r="N140" s="5">
        <f t="shared" si="21"/>
        <v>0</v>
      </c>
      <c r="O140" s="12" t="str">
        <f t="shared" si="22"/>
        <v>TEF</v>
      </c>
      <c r="P140" s="12" t="str">
        <f t="shared" si="23"/>
        <v/>
      </c>
      <c r="Q140" s="13" t="str">
        <f t="shared" si="24"/>
        <v>_TEF_</v>
      </c>
      <c r="R140" s="13" t="str">
        <f t="shared" si="25"/>
        <v/>
      </c>
      <c r="S140" s="12" t="str">
        <f t="shared" si="26"/>
        <v/>
      </c>
      <c r="T140" s="12" t="str">
        <f t="shared" si="18"/>
        <v/>
      </c>
      <c r="U140" s="12" t="str">
        <f t="shared" si="34"/>
        <v>NO</v>
      </c>
      <c r="V140" s="14" t="str">
        <f t="shared" si="27"/>
        <v/>
      </c>
      <c r="W140" s="14" t="str">
        <f t="shared" si="28"/>
        <v/>
      </c>
      <c r="X140" s="14" t="str">
        <f t="shared" si="29"/>
        <v/>
      </c>
      <c r="Y140" s="15" t="str">
        <f t="shared" si="20"/>
        <v/>
      </c>
      <c r="Z140" s="342">
        <f t="shared" si="30"/>
        <v>0</v>
      </c>
      <c r="AA140" s="342">
        <f t="shared" si="31"/>
        <v>0</v>
      </c>
      <c r="AB140" s="342">
        <f t="shared" si="32"/>
        <v>0</v>
      </c>
      <c r="AC140" s="342">
        <f t="shared" si="33"/>
        <v>0</v>
      </c>
    </row>
    <row r="141" spans="1:29" ht="12.75" customHeight="1" x14ac:dyDescent="0.2">
      <c r="A141" s="71">
        <v>120</v>
      </c>
      <c r="B141" s="17"/>
      <c r="C141" s="17"/>
      <c r="D141" s="487"/>
      <c r="E141" s="487"/>
      <c r="F141" s="487"/>
      <c r="G141" s="487"/>
      <c r="H141" s="17"/>
      <c r="I141" s="492"/>
      <c r="J141" s="489" t="str">
        <f>IFERROR(VLOOKUP($Q141,FeeLookup!$J$5:$L$33,2,FALSE),"")</f>
        <v/>
      </c>
      <c r="K141" s="489" t="str">
        <f>IFERROR(VLOOKUP($Q141,FeeLookup!$J$5:$L$33,3,FALSE),"")</f>
        <v/>
      </c>
      <c r="L141" s="413" t="s">
        <v>29</v>
      </c>
      <c r="M141" s="414">
        <v>120</v>
      </c>
      <c r="N141" s="5">
        <f t="shared" si="21"/>
        <v>0</v>
      </c>
      <c r="O141" s="12" t="str">
        <f t="shared" si="22"/>
        <v>TEF</v>
      </c>
      <c r="P141" s="12" t="str">
        <f t="shared" si="23"/>
        <v/>
      </c>
      <c r="Q141" s="13" t="str">
        <f t="shared" si="24"/>
        <v>_TEF_</v>
      </c>
      <c r="R141" s="13" t="str">
        <f t="shared" si="25"/>
        <v/>
      </c>
      <c r="S141" s="12" t="str">
        <f t="shared" si="26"/>
        <v/>
      </c>
      <c r="T141" s="12" t="str">
        <f t="shared" si="18"/>
        <v/>
      </c>
      <c r="U141" s="12" t="str">
        <f t="shared" si="34"/>
        <v>NO</v>
      </c>
      <c r="V141" s="14" t="str">
        <f t="shared" si="27"/>
        <v/>
      </c>
      <c r="W141" s="14" t="str">
        <f t="shared" si="28"/>
        <v/>
      </c>
      <c r="X141" s="14" t="str">
        <f t="shared" si="29"/>
        <v/>
      </c>
      <c r="Y141" s="15" t="str">
        <f t="shared" si="20"/>
        <v/>
      </c>
      <c r="Z141" s="342">
        <f t="shared" si="30"/>
        <v>0</v>
      </c>
      <c r="AA141" s="342">
        <f t="shared" si="31"/>
        <v>0</v>
      </c>
      <c r="AB141" s="342">
        <f t="shared" si="32"/>
        <v>0</v>
      </c>
      <c r="AC141" s="342">
        <f t="shared" si="33"/>
        <v>0</v>
      </c>
    </row>
    <row r="142" spans="1:29" ht="12.75" customHeight="1" x14ac:dyDescent="0.2">
      <c r="A142" s="71">
        <v>121</v>
      </c>
      <c r="B142" s="17"/>
      <c r="C142" s="17"/>
      <c r="D142" s="487"/>
      <c r="E142" s="487"/>
      <c r="F142" s="487"/>
      <c r="G142" s="487"/>
      <c r="H142" s="17"/>
      <c r="I142" s="492"/>
      <c r="J142" s="489" t="str">
        <f>IFERROR(VLOOKUP($Q142,FeeLookup!$J$5:$L$33,2,FALSE),"")</f>
        <v/>
      </c>
      <c r="K142" s="489" t="str">
        <f>IFERROR(VLOOKUP($Q142,FeeLookup!$J$5:$L$33,3,FALSE),"")</f>
        <v/>
      </c>
      <c r="L142" s="413" t="s">
        <v>29</v>
      </c>
      <c r="M142" s="414">
        <v>121</v>
      </c>
      <c r="N142" s="5">
        <f t="shared" si="21"/>
        <v>0</v>
      </c>
      <c r="O142" s="12" t="str">
        <f t="shared" si="22"/>
        <v>TEF</v>
      </c>
      <c r="P142" s="12" t="str">
        <f t="shared" si="23"/>
        <v/>
      </c>
      <c r="Q142" s="13" t="str">
        <f t="shared" si="24"/>
        <v>_TEF_</v>
      </c>
      <c r="R142" s="13" t="str">
        <f t="shared" si="25"/>
        <v/>
      </c>
      <c r="S142" s="12" t="str">
        <f t="shared" si="26"/>
        <v/>
      </c>
      <c r="T142" s="12" t="str">
        <f t="shared" si="18"/>
        <v/>
      </c>
      <c r="U142" s="12" t="str">
        <f t="shared" si="34"/>
        <v>NO</v>
      </c>
      <c r="V142" s="14" t="str">
        <f t="shared" si="27"/>
        <v/>
      </c>
      <c r="W142" s="14" t="str">
        <f t="shared" si="28"/>
        <v/>
      </c>
      <c r="X142" s="14" t="str">
        <f t="shared" si="29"/>
        <v/>
      </c>
      <c r="Y142" s="15" t="str">
        <f t="shared" si="20"/>
        <v/>
      </c>
      <c r="Z142" s="342">
        <f t="shared" si="30"/>
        <v>0</v>
      </c>
      <c r="AA142" s="342">
        <f t="shared" si="31"/>
        <v>0</v>
      </c>
      <c r="AB142" s="342">
        <f t="shared" si="32"/>
        <v>0</v>
      </c>
      <c r="AC142" s="342">
        <f t="shared" si="33"/>
        <v>0</v>
      </c>
    </row>
    <row r="143" spans="1:29" ht="12.75" customHeight="1" x14ac:dyDescent="0.2">
      <c r="A143" s="71">
        <v>122</v>
      </c>
      <c r="B143" s="17"/>
      <c r="C143" s="17"/>
      <c r="D143" s="487"/>
      <c r="E143" s="487"/>
      <c r="F143" s="487"/>
      <c r="G143" s="487"/>
      <c r="H143" s="17"/>
      <c r="I143" s="492"/>
      <c r="J143" s="489" t="str">
        <f>IFERROR(VLOOKUP($Q143,FeeLookup!$J$5:$L$33,2,FALSE),"")</f>
        <v/>
      </c>
      <c r="K143" s="489" t="str">
        <f>IFERROR(VLOOKUP($Q143,FeeLookup!$J$5:$L$33,3,FALSE),"")</f>
        <v/>
      </c>
      <c r="L143" s="413" t="s">
        <v>29</v>
      </c>
      <c r="M143" s="414">
        <v>122</v>
      </c>
      <c r="N143" s="5">
        <f t="shared" si="21"/>
        <v>0</v>
      </c>
      <c r="O143" s="12" t="str">
        <f t="shared" si="22"/>
        <v>TEF</v>
      </c>
      <c r="P143" s="12" t="str">
        <f t="shared" si="23"/>
        <v/>
      </c>
      <c r="Q143" s="13" t="str">
        <f t="shared" si="24"/>
        <v>_TEF_</v>
      </c>
      <c r="R143" s="13" t="str">
        <f t="shared" si="25"/>
        <v/>
      </c>
      <c r="S143" s="12" t="str">
        <f t="shared" si="26"/>
        <v/>
      </c>
      <c r="T143" s="12" t="str">
        <f t="shared" si="18"/>
        <v/>
      </c>
      <c r="U143" s="12" t="str">
        <f t="shared" si="34"/>
        <v>NO</v>
      </c>
      <c r="V143" s="14" t="str">
        <f t="shared" si="27"/>
        <v/>
      </c>
      <c r="W143" s="14" t="str">
        <f t="shared" si="28"/>
        <v/>
      </c>
      <c r="X143" s="14" t="str">
        <f t="shared" si="29"/>
        <v/>
      </c>
      <c r="Y143" s="15" t="str">
        <f t="shared" si="20"/>
        <v/>
      </c>
      <c r="Z143" s="342">
        <f t="shared" si="30"/>
        <v>0</v>
      </c>
      <c r="AA143" s="342">
        <f t="shared" si="31"/>
        <v>0</v>
      </c>
      <c r="AB143" s="342">
        <f t="shared" si="32"/>
        <v>0</v>
      </c>
      <c r="AC143" s="342">
        <f t="shared" si="33"/>
        <v>0</v>
      </c>
    </row>
    <row r="144" spans="1:29" ht="12.75" customHeight="1" x14ac:dyDescent="0.2">
      <c r="A144" s="71">
        <v>123</v>
      </c>
      <c r="B144" s="17"/>
      <c r="C144" s="17"/>
      <c r="D144" s="487"/>
      <c r="E144" s="487"/>
      <c r="F144" s="487"/>
      <c r="G144" s="487"/>
      <c r="H144" s="17"/>
      <c r="I144" s="492"/>
      <c r="J144" s="489" t="str">
        <f>IFERROR(VLOOKUP($Q144,FeeLookup!$J$5:$L$33,2,FALSE),"")</f>
        <v/>
      </c>
      <c r="K144" s="489" t="str">
        <f>IFERROR(VLOOKUP($Q144,FeeLookup!$J$5:$L$33,3,FALSE),"")</f>
        <v/>
      </c>
      <c r="L144" s="413" t="s">
        <v>29</v>
      </c>
      <c r="M144" s="414">
        <v>123</v>
      </c>
      <c r="N144" s="5">
        <f t="shared" si="21"/>
        <v>0</v>
      </c>
      <c r="O144" s="12" t="str">
        <f t="shared" si="22"/>
        <v>TEF</v>
      </c>
      <c r="P144" s="12" t="str">
        <f t="shared" si="23"/>
        <v/>
      </c>
      <c r="Q144" s="13" t="str">
        <f t="shared" si="24"/>
        <v>_TEF_</v>
      </c>
      <c r="R144" s="13" t="str">
        <f t="shared" si="25"/>
        <v/>
      </c>
      <c r="S144" s="12" t="str">
        <f t="shared" si="26"/>
        <v/>
      </c>
      <c r="T144" s="12" t="str">
        <f t="shared" si="18"/>
        <v/>
      </c>
      <c r="U144" s="12" t="str">
        <f t="shared" si="34"/>
        <v>NO</v>
      </c>
      <c r="V144" s="14" t="str">
        <f t="shared" si="27"/>
        <v/>
      </c>
      <c r="W144" s="14" t="str">
        <f t="shared" si="28"/>
        <v/>
      </c>
      <c r="X144" s="14" t="str">
        <f t="shared" si="29"/>
        <v/>
      </c>
      <c r="Y144" s="15" t="str">
        <f t="shared" si="20"/>
        <v/>
      </c>
      <c r="Z144" s="342">
        <f t="shared" si="30"/>
        <v>0</v>
      </c>
      <c r="AA144" s="342">
        <f t="shared" si="31"/>
        <v>0</v>
      </c>
      <c r="AB144" s="342">
        <f t="shared" si="32"/>
        <v>0</v>
      </c>
      <c r="AC144" s="342">
        <f t="shared" si="33"/>
        <v>0</v>
      </c>
    </row>
    <row r="145" spans="1:29" ht="12.75" customHeight="1" x14ac:dyDescent="0.2">
      <c r="A145" s="71">
        <v>124</v>
      </c>
      <c r="B145" s="17"/>
      <c r="C145" s="17"/>
      <c r="D145" s="487"/>
      <c r="E145" s="487"/>
      <c r="F145" s="487"/>
      <c r="G145" s="487"/>
      <c r="H145" s="17"/>
      <c r="I145" s="492"/>
      <c r="J145" s="489" t="str">
        <f>IFERROR(VLOOKUP($Q145,FeeLookup!$J$5:$L$33,2,FALSE),"")</f>
        <v/>
      </c>
      <c r="K145" s="489" t="str">
        <f>IFERROR(VLOOKUP($Q145,FeeLookup!$J$5:$L$33,3,FALSE),"")</f>
        <v/>
      </c>
      <c r="L145" s="413" t="s">
        <v>29</v>
      </c>
      <c r="M145" s="414">
        <v>124</v>
      </c>
      <c r="N145" s="5">
        <f t="shared" si="21"/>
        <v>0</v>
      </c>
      <c r="O145" s="12" t="str">
        <f t="shared" si="22"/>
        <v>TEF</v>
      </c>
      <c r="P145" s="12" t="str">
        <f t="shared" si="23"/>
        <v/>
      </c>
      <c r="Q145" s="13" t="str">
        <f t="shared" si="24"/>
        <v>_TEF_</v>
      </c>
      <c r="R145" s="13" t="str">
        <f t="shared" si="25"/>
        <v/>
      </c>
      <c r="S145" s="12" t="str">
        <f t="shared" si="26"/>
        <v/>
      </c>
      <c r="T145" s="12" t="str">
        <f t="shared" si="18"/>
        <v/>
      </c>
      <c r="U145" s="12" t="str">
        <f t="shared" si="34"/>
        <v>NO</v>
      </c>
      <c r="V145" s="14" t="str">
        <f t="shared" si="27"/>
        <v/>
      </c>
      <c r="W145" s="14" t="str">
        <f t="shared" si="28"/>
        <v/>
      </c>
      <c r="X145" s="14" t="str">
        <f t="shared" si="29"/>
        <v/>
      </c>
      <c r="Y145" s="15" t="str">
        <f t="shared" si="20"/>
        <v/>
      </c>
      <c r="Z145" s="342">
        <f t="shared" si="30"/>
        <v>0</v>
      </c>
      <c r="AA145" s="342">
        <f t="shared" si="31"/>
        <v>0</v>
      </c>
      <c r="AB145" s="342">
        <f t="shared" si="32"/>
        <v>0</v>
      </c>
      <c r="AC145" s="342">
        <f t="shared" si="33"/>
        <v>0</v>
      </c>
    </row>
    <row r="146" spans="1:29" ht="12.75" customHeight="1" x14ac:dyDescent="0.2">
      <c r="A146" s="71">
        <v>125</v>
      </c>
      <c r="B146" s="17"/>
      <c r="C146" s="17"/>
      <c r="D146" s="487"/>
      <c r="E146" s="487"/>
      <c r="F146" s="487"/>
      <c r="G146" s="487"/>
      <c r="H146" s="17"/>
      <c r="I146" s="492"/>
      <c r="J146" s="489" t="str">
        <f>IFERROR(VLOOKUP($Q146,FeeLookup!$J$5:$L$33,2,FALSE),"")</f>
        <v/>
      </c>
      <c r="K146" s="489" t="str">
        <f>IFERROR(VLOOKUP($Q146,FeeLookup!$J$5:$L$33,3,FALSE),"")</f>
        <v/>
      </c>
      <c r="L146" s="413" t="s">
        <v>29</v>
      </c>
      <c r="M146" s="414">
        <v>125</v>
      </c>
      <c r="N146" s="5">
        <f t="shared" si="21"/>
        <v>0</v>
      </c>
      <c r="O146" s="12" t="str">
        <f t="shared" si="22"/>
        <v>TEF</v>
      </c>
      <c r="P146" s="12" t="str">
        <f t="shared" si="23"/>
        <v/>
      </c>
      <c r="Q146" s="13" t="str">
        <f t="shared" si="24"/>
        <v>_TEF_</v>
      </c>
      <c r="R146" s="13" t="str">
        <f t="shared" si="25"/>
        <v/>
      </c>
      <c r="S146" s="12" t="str">
        <f t="shared" si="26"/>
        <v/>
      </c>
      <c r="T146" s="12" t="str">
        <f t="shared" si="18"/>
        <v/>
      </c>
      <c r="U146" s="12" t="str">
        <f t="shared" si="34"/>
        <v>NO</v>
      </c>
      <c r="V146" s="14" t="str">
        <f t="shared" si="27"/>
        <v/>
      </c>
      <c r="W146" s="14" t="str">
        <f t="shared" si="28"/>
        <v/>
      </c>
      <c r="X146" s="14" t="str">
        <f t="shared" si="29"/>
        <v/>
      </c>
      <c r="Y146" s="15" t="str">
        <f t="shared" si="20"/>
        <v/>
      </c>
      <c r="Z146" s="342">
        <f t="shared" si="30"/>
        <v>0</v>
      </c>
      <c r="AA146" s="342">
        <f t="shared" si="31"/>
        <v>0</v>
      </c>
      <c r="AB146" s="342">
        <f t="shared" si="32"/>
        <v>0</v>
      </c>
      <c r="AC146" s="342">
        <f t="shared" si="33"/>
        <v>0</v>
      </c>
    </row>
    <row r="147" spans="1:29" ht="12.75" customHeight="1" x14ac:dyDescent="0.2">
      <c r="A147" s="71">
        <v>126</v>
      </c>
      <c r="B147" s="17"/>
      <c r="C147" s="17"/>
      <c r="D147" s="487"/>
      <c r="E147" s="487"/>
      <c r="F147" s="487"/>
      <c r="G147" s="487"/>
      <c r="H147" s="17"/>
      <c r="I147" s="492"/>
      <c r="J147" s="489" t="str">
        <f>IFERROR(VLOOKUP($Q147,FeeLookup!$J$5:$L$33,2,FALSE),"")</f>
        <v/>
      </c>
      <c r="K147" s="489" t="str">
        <f>IFERROR(VLOOKUP($Q147,FeeLookup!$J$5:$L$33,3,FALSE),"")</f>
        <v/>
      </c>
      <c r="L147" s="413" t="s">
        <v>29</v>
      </c>
      <c r="M147" s="414">
        <v>126</v>
      </c>
      <c r="N147" s="5">
        <f t="shared" si="21"/>
        <v>0</v>
      </c>
      <c r="O147" s="12" t="str">
        <f t="shared" si="22"/>
        <v>TEF</v>
      </c>
      <c r="P147" s="12" t="str">
        <f t="shared" si="23"/>
        <v/>
      </c>
      <c r="Q147" s="13" t="str">
        <f t="shared" si="24"/>
        <v>_TEF_</v>
      </c>
      <c r="R147" s="13" t="str">
        <f t="shared" si="25"/>
        <v/>
      </c>
      <c r="S147" s="12" t="str">
        <f t="shared" si="26"/>
        <v/>
      </c>
      <c r="T147" s="12" t="str">
        <f t="shared" si="18"/>
        <v/>
      </c>
      <c r="U147" s="12" t="str">
        <f t="shared" si="34"/>
        <v>NO</v>
      </c>
      <c r="V147" s="14" t="str">
        <f t="shared" si="27"/>
        <v/>
      </c>
      <c r="W147" s="14" t="str">
        <f t="shared" si="28"/>
        <v/>
      </c>
      <c r="X147" s="14" t="str">
        <f t="shared" si="29"/>
        <v/>
      </c>
      <c r="Y147" s="15" t="str">
        <f t="shared" si="20"/>
        <v/>
      </c>
      <c r="Z147" s="342">
        <f t="shared" si="30"/>
        <v>0</v>
      </c>
      <c r="AA147" s="342">
        <f t="shared" si="31"/>
        <v>0</v>
      </c>
      <c r="AB147" s="342">
        <f t="shared" si="32"/>
        <v>0</v>
      </c>
      <c r="AC147" s="342">
        <f t="shared" si="33"/>
        <v>0</v>
      </c>
    </row>
    <row r="148" spans="1:29" ht="12.75" customHeight="1" x14ac:dyDescent="0.2">
      <c r="A148" s="71">
        <v>127</v>
      </c>
      <c r="B148" s="17"/>
      <c r="C148" s="17"/>
      <c r="D148" s="487"/>
      <c r="E148" s="487"/>
      <c r="F148" s="487"/>
      <c r="G148" s="487"/>
      <c r="H148" s="17"/>
      <c r="I148" s="492"/>
      <c r="J148" s="489" t="str">
        <f>IFERROR(VLOOKUP($Q148,FeeLookup!$J$5:$L$33,2,FALSE),"")</f>
        <v/>
      </c>
      <c r="K148" s="489" t="str">
        <f>IFERROR(VLOOKUP($Q148,FeeLookup!$J$5:$L$33,3,FALSE),"")</f>
        <v/>
      </c>
      <c r="L148" s="413" t="s">
        <v>29</v>
      </c>
      <c r="M148" s="414">
        <v>127</v>
      </c>
      <c r="N148" s="5">
        <f t="shared" si="21"/>
        <v>0</v>
      </c>
      <c r="O148" s="12" t="str">
        <f t="shared" si="22"/>
        <v>TEF</v>
      </c>
      <c r="P148" s="12" t="str">
        <f t="shared" si="23"/>
        <v/>
      </c>
      <c r="Q148" s="13" t="str">
        <f t="shared" si="24"/>
        <v>_TEF_</v>
      </c>
      <c r="R148" s="13" t="str">
        <f t="shared" si="25"/>
        <v/>
      </c>
      <c r="S148" s="12" t="str">
        <f t="shared" si="26"/>
        <v/>
      </c>
      <c r="T148" s="12" t="str">
        <f t="shared" si="18"/>
        <v/>
      </c>
      <c r="U148" s="12" t="str">
        <f t="shared" si="34"/>
        <v>NO</v>
      </c>
      <c r="V148" s="14" t="str">
        <f t="shared" si="27"/>
        <v/>
      </c>
      <c r="W148" s="14" t="str">
        <f t="shared" si="28"/>
        <v/>
      </c>
      <c r="X148" s="14" t="str">
        <f t="shared" si="29"/>
        <v/>
      </c>
      <c r="Y148" s="15" t="str">
        <f t="shared" si="20"/>
        <v/>
      </c>
      <c r="Z148" s="342">
        <f t="shared" si="30"/>
        <v>0</v>
      </c>
      <c r="AA148" s="342">
        <f t="shared" si="31"/>
        <v>0</v>
      </c>
      <c r="AB148" s="342">
        <f t="shared" si="32"/>
        <v>0</v>
      </c>
      <c r="AC148" s="342">
        <f t="shared" si="33"/>
        <v>0</v>
      </c>
    </row>
    <row r="149" spans="1:29" ht="12.75" customHeight="1" x14ac:dyDescent="0.2">
      <c r="A149" s="71">
        <v>128</v>
      </c>
      <c r="B149" s="17"/>
      <c r="C149" s="17"/>
      <c r="D149" s="487"/>
      <c r="E149" s="487"/>
      <c r="F149" s="487"/>
      <c r="G149" s="487"/>
      <c r="H149" s="17"/>
      <c r="I149" s="492"/>
      <c r="J149" s="489" t="str">
        <f>IFERROR(VLOOKUP($Q149,FeeLookup!$J$5:$L$33,2,FALSE),"")</f>
        <v/>
      </c>
      <c r="K149" s="489" t="str">
        <f>IFERROR(VLOOKUP($Q149,FeeLookup!$J$5:$L$33,3,FALSE),"")</f>
        <v/>
      </c>
      <c r="L149" s="413" t="s">
        <v>29</v>
      </c>
      <c r="M149" s="414">
        <v>128</v>
      </c>
      <c r="N149" s="5">
        <f t="shared" si="21"/>
        <v>0</v>
      </c>
      <c r="O149" s="12" t="str">
        <f t="shared" si="22"/>
        <v>TEF</v>
      </c>
      <c r="P149" s="12" t="str">
        <f t="shared" si="23"/>
        <v/>
      </c>
      <c r="Q149" s="13" t="str">
        <f t="shared" si="24"/>
        <v>_TEF_</v>
      </c>
      <c r="R149" s="13" t="str">
        <f t="shared" si="25"/>
        <v/>
      </c>
      <c r="S149" s="12" t="str">
        <f t="shared" si="26"/>
        <v/>
      </c>
      <c r="T149" s="12" t="str">
        <f t="shared" si="18"/>
        <v/>
      </c>
      <c r="U149" s="12" t="str">
        <f t="shared" si="34"/>
        <v>NO</v>
      </c>
      <c r="V149" s="14" t="str">
        <f t="shared" si="27"/>
        <v/>
      </c>
      <c r="W149" s="14" t="str">
        <f t="shared" si="28"/>
        <v/>
      </c>
      <c r="X149" s="14" t="str">
        <f t="shared" si="29"/>
        <v/>
      </c>
      <c r="Y149" s="15" t="str">
        <f t="shared" si="20"/>
        <v/>
      </c>
      <c r="Z149" s="342">
        <f t="shared" si="30"/>
        <v>0</v>
      </c>
      <c r="AA149" s="342">
        <f t="shared" si="31"/>
        <v>0</v>
      </c>
      <c r="AB149" s="342">
        <f t="shared" si="32"/>
        <v>0</v>
      </c>
      <c r="AC149" s="342">
        <f t="shared" si="33"/>
        <v>0</v>
      </c>
    </row>
    <row r="150" spans="1:29" ht="12.75" customHeight="1" x14ac:dyDescent="0.2">
      <c r="A150" s="71">
        <v>129</v>
      </c>
      <c r="B150" s="17"/>
      <c r="C150" s="17"/>
      <c r="D150" s="487"/>
      <c r="E150" s="487"/>
      <c r="F150" s="487"/>
      <c r="G150" s="487"/>
      <c r="H150" s="17"/>
      <c r="I150" s="492"/>
      <c r="J150" s="489" t="str">
        <f>IFERROR(VLOOKUP($Q150,FeeLookup!$J$5:$L$33,2,FALSE),"")</f>
        <v/>
      </c>
      <c r="K150" s="489" t="str">
        <f>IFERROR(VLOOKUP($Q150,FeeLookup!$J$5:$L$33,3,FALSE),"")</f>
        <v/>
      </c>
      <c r="L150" s="413" t="s">
        <v>29</v>
      </c>
      <c r="M150" s="414">
        <v>129</v>
      </c>
      <c r="N150" s="5">
        <f t="shared" si="21"/>
        <v>0</v>
      </c>
      <c r="O150" s="12" t="str">
        <f t="shared" si="22"/>
        <v>TEF</v>
      </c>
      <c r="P150" s="12" t="str">
        <f t="shared" si="23"/>
        <v/>
      </c>
      <c r="Q150" s="13" t="str">
        <f t="shared" si="24"/>
        <v>_TEF_</v>
      </c>
      <c r="R150" s="13" t="str">
        <f t="shared" si="25"/>
        <v/>
      </c>
      <c r="S150" s="12" t="str">
        <f t="shared" si="26"/>
        <v/>
      </c>
      <c r="T150" s="12" t="str">
        <f t="shared" ref="T150:T171" si="35">IF(I150="","",IF(I150&lt;J150,"BBFC",IF(I150&gt;K150,"AHFC","BBHFC")))</f>
        <v/>
      </c>
      <c r="U150" s="12" t="str">
        <f t="shared" ref="U150:U171" si="36">IF(COUNTBLANK(B150:I150)=8,"NO","YES")</f>
        <v>NO</v>
      </c>
      <c r="V150" s="14" t="str">
        <f t="shared" si="27"/>
        <v/>
      </c>
      <c r="W150" s="14" t="str">
        <f t="shared" si="28"/>
        <v/>
      </c>
      <c r="X150" s="14" t="str">
        <f t="shared" si="29"/>
        <v/>
      </c>
      <c r="Y150" s="15" t="str">
        <f t="shared" ref="Y150:Y171" si="37">IF(OR(I150="",V150=""),"",IF(I150-J150&lt;0,0,I150-J150))</f>
        <v/>
      </c>
      <c r="Z150" s="342">
        <f t="shared" si="30"/>
        <v>0</v>
      </c>
      <c r="AA150" s="342">
        <f t="shared" si="31"/>
        <v>0</v>
      </c>
      <c r="AB150" s="342">
        <f t="shared" si="32"/>
        <v>0</v>
      </c>
      <c r="AC150" s="342">
        <f t="shared" si="33"/>
        <v>0</v>
      </c>
    </row>
    <row r="151" spans="1:29" ht="12.75" customHeight="1" x14ac:dyDescent="0.2">
      <c r="A151" s="71">
        <v>130</v>
      </c>
      <c r="B151" s="17"/>
      <c r="C151" s="17"/>
      <c r="D151" s="487"/>
      <c r="E151" s="487"/>
      <c r="F151" s="487"/>
      <c r="G151" s="487"/>
      <c r="H151" s="17"/>
      <c r="I151" s="492"/>
      <c r="J151" s="489" t="str">
        <f>IFERROR(VLOOKUP($Q151,FeeLookup!$J$5:$L$33,2,FALSE),"")</f>
        <v/>
      </c>
      <c r="K151" s="489" t="str">
        <f>IFERROR(VLOOKUP($Q151,FeeLookup!$J$5:$L$33,3,FALSE),"")</f>
        <v/>
      </c>
      <c r="L151" s="413" t="s">
        <v>29</v>
      </c>
      <c r="M151" s="414">
        <v>130</v>
      </c>
      <c r="N151" s="5">
        <f t="shared" ref="N151:N171" si="38">VALUE(I151)</f>
        <v>0</v>
      </c>
      <c r="O151" s="12" t="str">
        <f t="shared" ref="O151:O171" si="39">IF($D$6="We hold or have applied for a TEF award for 2019-20.","TEF","No TEF")</f>
        <v>TEF</v>
      </c>
      <c r="P151" s="12" t="str">
        <f t="shared" ref="P151:P171" si="40">IF(B151="","",IF(B151="Erasmus and overseas study years","LOWER",IF(B151="Sandwich year","SAND",IF(B151="Accelerated Degree","ACCEL","FULL"))))</f>
        <v/>
      </c>
      <c r="Q151" s="13" t="str">
        <f t="shared" ref="Q151:Q171" si="41">CONCATENATE(P151,IF(O151="No TEF","_NO_TEF_",IF(O151="TEF","_TEF_","")))</f>
        <v>_TEF_</v>
      </c>
      <c r="R151" s="13" t="str">
        <f t="shared" ref="R151:R171" si="42">IF(J151="","",IF(I151="","0",I151))</f>
        <v/>
      </c>
      <c r="S151" s="12" t="str">
        <f t="shared" ref="S151:S171" si="43">IF(J151="","",IF((R151-J151)&gt;0,"YES","NO"))</f>
        <v/>
      </c>
      <c r="T151" s="12" t="str">
        <f t="shared" si="35"/>
        <v/>
      </c>
      <c r="U151" s="12" t="str">
        <f t="shared" si="36"/>
        <v>NO</v>
      </c>
      <c r="V151" s="14" t="str">
        <f t="shared" ref="V151:V171" si="44">IF(U151="NO","",IF(AND((COUNTBLANK(B151:B151)=0),COUNTBLANK(I151)=0,COUNTBLANK(H151)=0,COUNTBLANK(D151:G151)&lt;&gt;4),"YES","NO"))</f>
        <v/>
      </c>
      <c r="W151" s="14" t="str">
        <f t="shared" ref="W151:W171" si="45">IF(U151="NO","",IF(SUM(D151:G151)&gt;0,"YES","NO"))</f>
        <v/>
      </c>
      <c r="X151" s="14" t="str">
        <f t="shared" ref="X151:X171" si="46">IF(OR(V151="NO",W151="NO",T151="AHFC"),"FLAG","")</f>
        <v/>
      </c>
      <c r="Y151" s="15" t="str">
        <f t="shared" si="37"/>
        <v/>
      </c>
      <c r="Z151" s="342">
        <f t="shared" ref="Z151:Z171" si="47">IF(IF(ISERROR(I151-J151)=TRUE,0,I151-J151)&gt;0,D151,0)</f>
        <v>0</v>
      </c>
      <c r="AA151" s="342">
        <f t="shared" si="31"/>
        <v>0</v>
      </c>
      <c r="AB151" s="342">
        <f t="shared" si="32"/>
        <v>0</v>
      </c>
      <c r="AC151" s="342">
        <f t="shared" si="33"/>
        <v>0</v>
      </c>
    </row>
    <row r="152" spans="1:29" ht="12.75" customHeight="1" x14ac:dyDescent="0.2">
      <c r="A152" s="71">
        <v>131</v>
      </c>
      <c r="B152" s="17"/>
      <c r="C152" s="17"/>
      <c r="D152" s="487"/>
      <c r="E152" s="487"/>
      <c r="F152" s="487"/>
      <c r="G152" s="487"/>
      <c r="H152" s="17"/>
      <c r="I152" s="492"/>
      <c r="J152" s="489" t="str">
        <f>IFERROR(VLOOKUP($Q152,FeeLookup!$J$5:$L$33,2,FALSE),"")</f>
        <v/>
      </c>
      <c r="K152" s="489" t="str">
        <f>IFERROR(VLOOKUP($Q152,FeeLookup!$J$5:$L$33,3,FALSE),"")</f>
        <v/>
      </c>
      <c r="L152" s="413" t="s">
        <v>29</v>
      </c>
      <c r="M152" s="414">
        <v>131</v>
      </c>
      <c r="N152" s="5">
        <f t="shared" si="38"/>
        <v>0</v>
      </c>
      <c r="O152" s="12" t="str">
        <f t="shared" si="39"/>
        <v>TEF</v>
      </c>
      <c r="P152" s="12" t="str">
        <f t="shared" si="40"/>
        <v/>
      </c>
      <c r="Q152" s="13" t="str">
        <f t="shared" si="41"/>
        <v>_TEF_</v>
      </c>
      <c r="R152" s="13" t="str">
        <f t="shared" si="42"/>
        <v/>
      </c>
      <c r="S152" s="12" t="str">
        <f t="shared" si="43"/>
        <v/>
      </c>
      <c r="T152" s="12" t="str">
        <f t="shared" si="35"/>
        <v/>
      </c>
      <c r="U152" s="12" t="str">
        <f t="shared" si="36"/>
        <v>NO</v>
      </c>
      <c r="V152" s="14" t="str">
        <f t="shared" si="44"/>
        <v/>
      </c>
      <c r="W152" s="14" t="str">
        <f t="shared" si="45"/>
        <v/>
      </c>
      <c r="X152" s="14" t="str">
        <f t="shared" si="46"/>
        <v/>
      </c>
      <c r="Y152" s="15" t="str">
        <f t="shared" si="37"/>
        <v/>
      </c>
      <c r="Z152" s="342">
        <f t="shared" si="47"/>
        <v>0</v>
      </c>
      <c r="AA152" s="342">
        <f t="shared" si="31"/>
        <v>0</v>
      </c>
      <c r="AB152" s="342">
        <f t="shared" si="32"/>
        <v>0</v>
      </c>
      <c r="AC152" s="342">
        <f t="shared" si="33"/>
        <v>0</v>
      </c>
    </row>
    <row r="153" spans="1:29" ht="12.75" customHeight="1" x14ac:dyDescent="0.2">
      <c r="A153" s="71">
        <v>132</v>
      </c>
      <c r="B153" s="17"/>
      <c r="C153" s="17"/>
      <c r="D153" s="487"/>
      <c r="E153" s="487"/>
      <c r="F153" s="487"/>
      <c r="G153" s="487"/>
      <c r="H153" s="17"/>
      <c r="I153" s="492"/>
      <c r="J153" s="489" t="str">
        <f>IFERROR(VLOOKUP($Q153,FeeLookup!$J$5:$L$33,2,FALSE),"")</f>
        <v/>
      </c>
      <c r="K153" s="489" t="str">
        <f>IFERROR(VLOOKUP($Q153,FeeLookup!$J$5:$L$33,3,FALSE),"")</f>
        <v/>
      </c>
      <c r="L153" s="413" t="s">
        <v>29</v>
      </c>
      <c r="M153" s="414">
        <v>132</v>
      </c>
      <c r="N153" s="5">
        <f t="shared" si="38"/>
        <v>0</v>
      </c>
      <c r="O153" s="12" t="str">
        <f t="shared" si="39"/>
        <v>TEF</v>
      </c>
      <c r="P153" s="12" t="str">
        <f t="shared" si="40"/>
        <v/>
      </c>
      <c r="Q153" s="13" t="str">
        <f t="shared" si="41"/>
        <v>_TEF_</v>
      </c>
      <c r="R153" s="13" t="str">
        <f t="shared" si="42"/>
        <v/>
      </c>
      <c r="S153" s="12" t="str">
        <f t="shared" si="43"/>
        <v/>
      </c>
      <c r="T153" s="12" t="str">
        <f t="shared" si="35"/>
        <v/>
      </c>
      <c r="U153" s="12" t="str">
        <f t="shared" si="36"/>
        <v>NO</v>
      </c>
      <c r="V153" s="14" t="str">
        <f t="shared" si="44"/>
        <v/>
      </c>
      <c r="W153" s="14" t="str">
        <f t="shared" si="45"/>
        <v/>
      </c>
      <c r="X153" s="14" t="str">
        <f t="shared" si="46"/>
        <v/>
      </c>
      <c r="Y153" s="15" t="str">
        <f t="shared" si="37"/>
        <v/>
      </c>
      <c r="Z153" s="342">
        <f t="shared" si="47"/>
        <v>0</v>
      </c>
      <c r="AA153" s="342">
        <f t="shared" si="31"/>
        <v>0</v>
      </c>
      <c r="AB153" s="342">
        <f t="shared" si="32"/>
        <v>0</v>
      </c>
      <c r="AC153" s="342">
        <f t="shared" si="33"/>
        <v>0</v>
      </c>
    </row>
    <row r="154" spans="1:29" ht="12.75" customHeight="1" x14ac:dyDescent="0.2">
      <c r="A154" s="71">
        <v>133</v>
      </c>
      <c r="B154" s="17"/>
      <c r="C154" s="17"/>
      <c r="D154" s="487"/>
      <c r="E154" s="487"/>
      <c r="F154" s="487"/>
      <c r="G154" s="487"/>
      <c r="H154" s="17"/>
      <c r="I154" s="492"/>
      <c r="J154" s="489" t="str">
        <f>IFERROR(VLOOKUP($Q154,FeeLookup!$J$5:$L$33,2,FALSE),"")</f>
        <v/>
      </c>
      <c r="K154" s="489" t="str">
        <f>IFERROR(VLOOKUP($Q154,FeeLookup!$J$5:$L$33,3,FALSE),"")</f>
        <v/>
      </c>
      <c r="L154" s="413" t="s">
        <v>29</v>
      </c>
      <c r="M154" s="414">
        <v>133</v>
      </c>
      <c r="N154" s="5">
        <f t="shared" si="38"/>
        <v>0</v>
      </c>
      <c r="O154" s="12" t="str">
        <f t="shared" si="39"/>
        <v>TEF</v>
      </c>
      <c r="P154" s="12" t="str">
        <f t="shared" si="40"/>
        <v/>
      </c>
      <c r="Q154" s="13" t="str">
        <f t="shared" si="41"/>
        <v>_TEF_</v>
      </c>
      <c r="R154" s="13" t="str">
        <f t="shared" si="42"/>
        <v/>
      </c>
      <c r="S154" s="12" t="str">
        <f t="shared" si="43"/>
        <v/>
      </c>
      <c r="T154" s="12" t="str">
        <f t="shared" si="35"/>
        <v/>
      </c>
      <c r="U154" s="12" t="str">
        <f t="shared" si="36"/>
        <v>NO</v>
      </c>
      <c r="V154" s="14" t="str">
        <f t="shared" si="44"/>
        <v/>
      </c>
      <c r="W154" s="14" t="str">
        <f t="shared" si="45"/>
        <v/>
      </c>
      <c r="X154" s="14" t="str">
        <f t="shared" si="46"/>
        <v/>
      </c>
      <c r="Y154" s="15" t="str">
        <f t="shared" si="37"/>
        <v/>
      </c>
      <c r="Z154" s="342">
        <f t="shared" si="47"/>
        <v>0</v>
      </c>
      <c r="AA154" s="342">
        <f t="shared" si="31"/>
        <v>0</v>
      </c>
      <c r="AB154" s="342">
        <f t="shared" si="32"/>
        <v>0</v>
      </c>
      <c r="AC154" s="342">
        <f t="shared" si="33"/>
        <v>0</v>
      </c>
    </row>
    <row r="155" spans="1:29" ht="12.75" customHeight="1" x14ac:dyDescent="0.2">
      <c r="A155" s="71">
        <v>134</v>
      </c>
      <c r="B155" s="17"/>
      <c r="C155" s="17"/>
      <c r="D155" s="487"/>
      <c r="E155" s="487"/>
      <c r="F155" s="487"/>
      <c r="G155" s="487"/>
      <c r="H155" s="17"/>
      <c r="I155" s="492"/>
      <c r="J155" s="489" t="str">
        <f>IFERROR(VLOOKUP($Q155,FeeLookup!$J$5:$L$33,2,FALSE),"")</f>
        <v/>
      </c>
      <c r="K155" s="489" t="str">
        <f>IFERROR(VLOOKUP($Q155,FeeLookup!$J$5:$L$33,3,FALSE),"")</f>
        <v/>
      </c>
      <c r="L155" s="413" t="s">
        <v>29</v>
      </c>
      <c r="M155" s="414">
        <v>134</v>
      </c>
      <c r="N155" s="5">
        <f t="shared" si="38"/>
        <v>0</v>
      </c>
      <c r="O155" s="12" t="str">
        <f t="shared" si="39"/>
        <v>TEF</v>
      </c>
      <c r="P155" s="12" t="str">
        <f t="shared" si="40"/>
        <v/>
      </c>
      <c r="Q155" s="13" t="str">
        <f t="shared" si="41"/>
        <v>_TEF_</v>
      </c>
      <c r="R155" s="13" t="str">
        <f t="shared" si="42"/>
        <v/>
      </c>
      <c r="S155" s="12" t="str">
        <f t="shared" si="43"/>
        <v/>
      </c>
      <c r="T155" s="12" t="str">
        <f t="shared" si="35"/>
        <v/>
      </c>
      <c r="U155" s="12" t="str">
        <f t="shared" si="36"/>
        <v>NO</v>
      </c>
      <c r="V155" s="14" t="str">
        <f t="shared" si="44"/>
        <v/>
      </c>
      <c r="W155" s="14" t="str">
        <f t="shared" si="45"/>
        <v/>
      </c>
      <c r="X155" s="14" t="str">
        <f t="shared" si="46"/>
        <v/>
      </c>
      <c r="Y155" s="15" t="str">
        <f t="shared" si="37"/>
        <v/>
      </c>
      <c r="Z155" s="342">
        <f t="shared" si="47"/>
        <v>0</v>
      </c>
      <c r="AA155" s="342">
        <f t="shared" si="31"/>
        <v>0</v>
      </c>
      <c r="AB155" s="342">
        <f t="shared" si="32"/>
        <v>0</v>
      </c>
      <c r="AC155" s="342">
        <f t="shared" si="33"/>
        <v>0</v>
      </c>
    </row>
    <row r="156" spans="1:29" ht="12.75" customHeight="1" x14ac:dyDescent="0.2">
      <c r="A156" s="71">
        <v>135</v>
      </c>
      <c r="B156" s="17"/>
      <c r="C156" s="17"/>
      <c r="D156" s="487"/>
      <c r="E156" s="487"/>
      <c r="F156" s="487"/>
      <c r="G156" s="487"/>
      <c r="H156" s="17"/>
      <c r="I156" s="492"/>
      <c r="J156" s="489" t="str">
        <f>IFERROR(VLOOKUP($Q156,FeeLookup!$J$5:$L$33,2,FALSE),"")</f>
        <v/>
      </c>
      <c r="K156" s="489" t="str">
        <f>IFERROR(VLOOKUP($Q156,FeeLookup!$J$5:$L$33,3,FALSE),"")</f>
        <v/>
      </c>
      <c r="L156" s="413" t="s">
        <v>29</v>
      </c>
      <c r="M156" s="414">
        <v>135</v>
      </c>
      <c r="N156" s="5">
        <f t="shared" si="38"/>
        <v>0</v>
      </c>
      <c r="O156" s="12" t="str">
        <f t="shared" si="39"/>
        <v>TEF</v>
      </c>
      <c r="P156" s="12" t="str">
        <f t="shared" si="40"/>
        <v/>
      </c>
      <c r="Q156" s="13" t="str">
        <f t="shared" si="41"/>
        <v>_TEF_</v>
      </c>
      <c r="R156" s="13" t="str">
        <f t="shared" si="42"/>
        <v/>
      </c>
      <c r="S156" s="12" t="str">
        <f t="shared" si="43"/>
        <v/>
      </c>
      <c r="T156" s="12" t="str">
        <f t="shared" si="35"/>
        <v/>
      </c>
      <c r="U156" s="12" t="str">
        <f t="shared" si="36"/>
        <v>NO</v>
      </c>
      <c r="V156" s="14" t="str">
        <f t="shared" si="44"/>
        <v/>
      </c>
      <c r="W156" s="14" t="str">
        <f t="shared" si="45"/>
        <v/>
      </c>
      <c r="X156" s="14" t="str">
        <f t="shared" si="46"/>
        <v/>
      </c>
      <c r="Y156" s="15" t="str">
        <f t="shared" si="37"/>
        <v/>
      </c>
      <c r="Z156" s="342">
        <f t="shared" si="47"/>
        <v>0</v>
      </c>
      <c r="AA156" s="342">
        <f t="shared" si="31"/>
        <v>0</v>
      </c>
      <c r="AB156" s="342">
        <f t="shared" si="32"/>
        <v>0</v>
      </c>
      <c r="AC156" s="342">
        <f t="shared" si="33"/>
        <v>0</v>
      </c>
    </row>
    <row r="157" spans="1:29" ht="12.75" customHeight="1" x14ac:dyDescent="0.2">
      <c r="A157" s="71">
        <v>136</v>
      </c>
      <c r="B157" s="17"/>
      <c r="C157" s="17"/>
      <c r="D157" s="487"/>
      <c r="E157" s="487"/>
      <c r="F157" s="487"/>
      <c r="G157" s="487"/>
      <c r="H157" s="17"/>
      <c r="I157" s="492"/>
      <c r="J157" s="489" t="str">
        <f>IFERROR(VLOOKUP($Q157,FeeLookup!$J$5:$L$33,2,FALSE),"")</f>
        <v/>
      </c>
      <c r="K157" s="489" t="str">
        <f>IFERROR(VLOOKUP($Q157,FeeLookup!$J$5:$L$33,3,FALSE),"")</f>
        <v/>
      </c>
      <c r="L157" s="413" t="s">
        <v>29</v>
      </c>
      <c r="M157" s="414">
        <v>136</v>
      </c>
      <c r="N157" s="5">
        <f t="shared" si="38"/>
        <v>0</v>
      </c>
      <c r="O157" s="12" t="str">
        <f t="shared" si="39"/>
        <v>TEF</v>
      </c>
      <c r="P157" s="12" t="str">
        <f t="shared" si="40"/>
        <v/>
      </c>
      <c r="Q157" s="13" t="str">
        <f t="shared" si="41"/>
        <v>_TEF_</v>
      </c>
      <c r="R157" s="13" t="str">
        <f t="shared" si="42"/>
        <v/>
      </c>
      <c r="S157" s="12" t="str">
        <f t="shared" si="43"/>
        <v/>
      </c>
      <c r="T157" s="12" t="str">
        <f t="shared" si="35"/>
        <v/>
      </c>
      <c r="U157" s="12" t="str">
        <f t="shared" si="36"/>
        <v>NO</v>
      </c>
      <c r="V157" s="14" t="str">
        <f t="shared" si="44"/>
        <v/>
      </c>
      <c r="W157" s="14" t="str">
        <f t="shared" si="45"/>
        <v/>
      </c>
      <c r="X157" s="14" t="str">
        <f t="shared" si="46"/>
        <v/>
      </c>
      <c r="Y157" s="15" t="str">
        <f t="shared" si="37"/>
        <v/>
      </c>
      <c r="Z157" s="342">
        <f t="shared" si="47"/>
        <v>0</v>
      </c>
      <c r="AA157" s="342">
        <f t="shared" si="31"/>
        <v>0</v>
      </c>
      <c r="AB157" s="342">
        <f t="shared" si="32"/>
        <v>0</v>
      </c>
      <c r="AC157" s="342">
        <f t="shared" si="33"/>
        <v>0</v>
      </c>
    </row>
    <row r="158" spans="1:29" ht="12.75" customHeight="1" x14ac:dyDescent="0.2">
      <c r="A158" s="71">
        <v>137</v>
      </c>
      <c r="B158" s="17"/>
      <c r="C158" s="17"/>
      <c r="D158" s="487"/>
      <c r="E158" s="487"/>
      <c r="F158" s="487"/>
      <c r="G158" s="487"/>
      <c r="H158" s="17"/>
      <c r="I158" s="492"/>
      <c r="J158" s="489" t="str">
        <f>IFERROR(VLOOKUP($Q158,FeeLookup!$J$5:$L$33,2,FALSE),"")</f>
        <v/>
      </c>
      <c r="K158" s="489" t="str">
        <f>IFERROR(VLOOKUP($Q158,FeeLookup!$J$5:$L$33,3,FALSE),"")</f>
        <v/>
      </c>
      <c r="L158" s="413" t="s">
        <v>29</v>
      </c>
      <c r="M158" s="414">
        <v>137</v>
      </c>
      <c r="N158" s="5">
        <f t="shared" si="38"/>
        <v>0</v>
      </c>
      <c r="O158" s="12" t="str">
        <f t="shared" si="39"/>
        <v>TEF</v>
      </c>
      <c r="P158" s="12" t="str">
        <f t="shared" si="40"/>
        <v/>
      </c>
      <c r="Q158" s="13" t="str">
        <f t="shared" si="41"/>
        <v>_TEF_</v>
      </c>
      <c r="R158" s="13" t="str">
        <f t="shared" si="42"/>
        <v/>
      </c>
      <c r="S158" s="12" t="str">
        <f t="shared" si="43"/>
        <v/>
      </c>
      <c r="T158" s="12" t="str">
        <f t="shared" si="35"/>
        <v/>
      </c>
      <c r="U158" s="12" t="str">
        <f t="shared" si="36"/>
        <v>NO</v>
      </c>
      <c r="V158" s="14" t="str">
        <f t="shared" si="44"/>
        <v/>
      </c>
      <c r="W158" s="14" t="str">
        <f t="shared" si="45"/>
        <v/>
      </c>
      <c r="X158" s="14" t="str">
        <f t="shared" si="46"/>
        <v/>
      </c>
      <c r="Y158" s="15" t="str">
        <f t="shared" si="37"/>
        <v/>
      </c>
      <c r="Z158" s="342">
        <f t="shared" si="47"/>
        <v>0</v>
      </c>
      <c r="AA158" s="342">
        <f t="shared" si="31"/>
        <v>0</v>
      </c>
      <c r="AB158" s="342">
        <f t="shared" si="32"/>
        <v>0</v>
      </c>
      <c r="AC158" s="342">
        <f t="shared" si="33"/>
        <v>0</v>
      </c>
    </row>
    <row r="159" spans="1:29" ht="12.75" customHeight="1" x14ac:dyDescent="0.2">
      <c r="A159" s="71">
        <v>138</v>
      </c>
      <c r="B159" s="17"/>
      <c r="C159" s="17"/>
      <c r="D159" s="487"/>
      <c r="E159" s="487"/>
      <c r="F159" s="487"/>
      <c r="G159" s="487"/>
      <c r="H159" s="17"/>
      <c r="I159" s="492"/>
      <c r="J159" s="489" t="str">
        <f>IFERROR(VLOOKUP($Q159,FeeLookup!$J$5:$L$33,2,FALSE),"")</f>
        <v/>
      </c>
      <c r="K159" s="489" t="str">
        <f>IFERROR(VLOOKUP($Q159,FeeLookup!$J$5:$L$33,3,FALSE),"")</f>
        <v/>
      </c>
      <c r="L159" s="413" t="s">
        <v>29</v>
      </c>
      <c r="M159" s="414">
        <v>138</v>
      </c>
      <c r="N159" s="5">
        <f t="shared" si="38"/>
        <v>0</v>
      </c>
      <c r="O159" s="12" t="str">
        <f t="shared" si="39"/>
        <v>TEF</v>
      </c>
      <c r="P159" s="12" t="str">
        <f t="shared" si="40"/>
        <v/>
      </c>
      <c r="Q159" s="13" t="str">
        <f t="shared" si="41"/>
        <v>_TEF_</v>
      </c>
      <c r="R159" s="13" t="str">
        <f t="shared" si="42"/>
        <v/>
      </c>
      <c r="S159" s="12" t="str">
        <f t="shared" si="43"/>
        <v/>
      </c>
      <c r="T159" s="12" t="str">
        <f t="shared" si="35"/>
        <v/>
      </c>
      <c r="U159" s="12" t="str">
        <f t="shared" si="36"/>
        <v>NO</v>
      </c>
      <c r="V159" s="14" t="str">
        <f t="shared" si="44"/>
        <v/>
      </c>
      <c r="W159" s="14" t="str">
        <f t="shared" si="45"/>
        <v/>
      </c>
      <c r="X159" s="14" t="str">
        <f t="shared" si="46"/>
        <v/>
      </c>
      <c r="Y159" s="15" t="str">
        <f t="shared" si="37"/>
        <v/>
      </c>
      <c r="Z159" s="342">
        <f t="shared" si="47"/>
        <v>0</v>
      </c>
      <c r="AA159" s="342">
        <f t="shared" si="31"/>
        <v>0</v>
      </c>
      <c r="AB159" s="342">
        <f t="shared" si="32"/>
        <v>0</v>
      </c>
      <c r="AC159" s="342">
        <f t="shared" si="33"/>
        <v>0</v>
      </c>
    </row>
    <row r="160" spans="1:29" ht="12.75" customHeight="1" x14ac:dyDescent="0.2">
      <c r="A160" s="71">
        <v>139</v>
      </c>
      <c r="B160" s="17"/>
      <c r="C160" s="17"/>
      <c r="D160" s="487"/>
      <c r="E160" s="487"/>
      <c r="F160" s="487"/>
      <c r="G160" s="487"/>
      <c r="H160" s="17"/>
      <c r="I160" s="492"/>
      <c r="J160" s="489" t="str">
        <f>IFERROR(VLOOKUP($Q160,FeeLookup!$J$5:$L$33,2,FALSE),"")</f>
        <v/>
      </c>
      <c r="K160" s="489" t="str">
        <f>IFERROR(VLOOKUP($Q160,FeeLookup!$J$5:$L$33,3,FALSE),"")</f>
        <v/>
      </c>
      <c r="L160" s="413" t="s">
        <v>29</v>
      </c>
      <c r="M160" s="414">
        <v>139</v>
      </c>
      <c r="N160" s="5">
        <f t="shared" si="38"/>
        <v>0</v>
      </c>
      <c r="O160" s="12" t="str">
        <f t="shared" si="39"/>
        <v>TEF</v>
      </c>
      <c r="P160" s="12" t="str">
        <f t="shared" si="40"/>
        <v/>
      </c>
      <c r="Q160" s="13" t="str">
        <f t="shared" si="41"/>
        <v>_TEF_</v>
      </c>
      <c r="R160" s="13" t="str">
        <f t="shared" si="42"/>
        <v/>
      </c>
      <c r="S160" s="12" t="str">
        <f t="shared" si="43"/>
        <v/>
      </c>
      <c r="T160" s="12" t="str">
        <f t="shared" si="35"/>
        <v/>
      </c>
      <c r="U160" s="12" t="str">
        <f t="shared" si="36"/>
        <v>NO</v>
      </c>
      <c r="V160" s="14" t="str">
        <f t="shared" si="44"/>
        <v/>
      </c>
      <c r="W160" s="14" t="str">
        <f t="shared" si="45"/>
        <v/>
      </c>
      <c r="X160" s="14" t="str">
        <f t="shared" si="46"/>
        <v/>
      </c>
      <c r="Y160" s="15" t="str">
        <f t="shared" si="37"/>
        <v/>
      </c>
      <c r="Z160" s="342">
        <f t="shared" si="47"/>
        <v>0</v>
      </c>
      <c r="AA160" s="342">
        <f t="shared" si="31"/>
        <v>0</v>
      </c>
      <c r="AB160" s="342">
        <f t="shared" si="32"/>
        <v>0</v>
      </c>
      <c r="AC160" s="342">
        <f t="shared" si="33"/>
        <v>0</v>
      </c>
    </row>
    <row r="161" spans="1:29" ht="12.75" customHeight="1" x14ac:dyDescent="0.2">
      <c r="A161" s="71">
        <v>140</v>
      </c>
      <c r="B161" s="17"/>
      <c r="C161" s="17"/>
      <c r="D161" s="487"/>
      <c r="E161" s="487"/>
      <c r="F161" s="487"/>
      <c r="G161" s="487"/>
      <c r="H161" s="17"/>
      <c r="I161" s="492"/>
      <c r="J161" s="489" t="str">
        <f>IFERROR(VLOOKUP($Q161,FeeLookup!$J$5:$L$33,2,FALSE),"")</f>
        <v/>
      </c>
      <c r="K161" s="489" t="str">
        <f>IFERROR(VLOOKUP($Q161,FeeLookup!$J$5:$L$33,3,FALSE),"")</f>
        <v/>
      </c>
      <c r="L161" s="413" t="s">
        <v>29</v>
      </c>
      <c r="M161" s="414">
        <v>140</v>
      </c>
      <c r="N161" s="5">
        <f t="shared" si="38"/>
        <v>0</v>
      </c>
      <c r="O161" s="12" t="str">
        <f t="shared" si="39"/>
        <v>TEF</v>
      </c>
      <c r="P161" s="12" t="str">
        <f t="shared" si="40"/>
        <v/>
      </c>
      <c r="Q161" s="13" t="str">
        <f t="shared" si="41"/>
        <v>_TEF_</v>
      </c>
      <c r="R161" s="13" t="str">
        <f t="shared" si="42"/>
        <v/>
      </c>
      <c r="S161" s="12" t="str">
        <f t="shared" si="43"/>
        <v/>
      </c>
      <c r="T161" s="12" t="str">
        <f t="shared" si="35"/>
        <v/>
      </c>
      <c r="U161" s="12" t="str">
        <f t="shared" si="36"/>
        <v>NO</v>
      </c>
      <c r="V161" s="14" t="str">
        <f t="shared" si="44"/>
        <v/>
      </c>
      <c r="W161" s="14" t="str">
        <f t="shared" si="45"/>
        <v/>
      </c>
      <c r="X161" s="14" t="str">
        <f t="shared" si="46"/>
        <v/>
      </c>
      <c r="Y161" s="15" t="str">
        <f t="shared" si="37"/>
        <v/>
      </c>
      <c r="Z161" s="342">
        <f t="shared" si="47"/>
        <v>0</v>
      </c>
      <c r="AA161" s="342">
        <f t="shared" si="31"/>
        <v>0</v>
      </c>
      <c r="AB161" s="342">
        <f t="shared" si="32"/>
        <v>0</v>
      </c>
      <c r="AC161" s="342">
        <f t="shared" si="33"/>
        <v>0</v>
      </c>
    </row>
    <row r="162" spans="1:29" ht="12.75" customHeight="1" x14ac:dyDescent="0.2">
      <c r="A162" s="71">
        <v>141</v>
      </c>
      <c r="B162" s="17"/>
      <c r="C162" s="17"/>
      <c r="D162" s="487"/>
      <c r="E162" s="487"/>
      <c r="F162" s="487"/>
      <c r="G162" s="487"/>
      <c r="H162" s="17"/>
      <c r="I162" s="492"/>
      <c r="J162" s="489" t="str">
        <f>IFERROR(VLOOKUP($Q162,FeeLookup!$J$5:$L$33,2,FALSE),"")</f>
        <v/>
      </c>
      <c r="K162" s="489" t="str">
        <f>IFERROR(VLOOKUP($Q162,FeeLookup!$J$5:$L$33,3,FALSE),"")</f>
        <v/>
      </c>
      <c r="L162" s="413" t="s">
        <v>29</v>
      </c>
      <c r="M162" s="414">
        <v>141</v>
      </c>
      <c r="N162" s="5">
        <f t="shared" si="38"/>
        <v>0</v>
      </c>
      <c r="O162" s="12" t="str">
        <f t="shared" si="39"/>
        <v>TEF</v>
      </c>
      <c r="P162" s="12" t="str">
        <f t="shared" si="40"/>
        <v/>
      </c>
      <c r="Q162" s="13" t="str">
        <f t="shared" si="41"/>
        <v>_TEF_</v>
      </c>
      <c r="R162" s="13" t="str">
        <f t="shared" si="42"/>
        <v/>
      </c>
      <c r="S162" s="12" t="str">
        <f t="shared" si="43"/>
        <v/>
      </c>
      <c r="T162" s="12" t="str">
        <f t="shared" si="35"/>
        <v/>
      </c>
      <c r="U162" s="12" t="str">
        <f t="shared" si="36"/>
        <v>NO</v>
      </c>
      <c r="V162" s="14" t="str">
        <f t="shared" si="44"/>
        <v/>
      </c>
      <c r="W162" s="14" t="str">
        <f t="shared" si="45"/>
        <v/>
      </c>
      <c r="X162" s="14" t="str">
        <f t="shared" si="46"/>
        <v/>
      </c>
      <c r="Y162" s="15" t="str">
        <f t="shared" si="37"/>
        <v/>
      </c>
      <c r="Z162" s="342">
        <f t="shared" si="47"/>
        <v>0</v>
      </c>
      <c r="AA162" s="342">
        <f t="shared" si="31"/>
        <v>0</v>
      </c>
      <c r="AB162" s="342">
        <f t="shared" si="32"/>
        <v>0</v>
      </c>
      <c r="AC162" s="342">
        <f t="shared" si="33"/>
        <v>0</v>
      </c>
    </row>
    <row r="163" spans="1:29" ht="12.75" customHeight="1" x14ac:dyDescent="0.2">
      <c r="A163" s="71">
        <v>142</v>
      </c>
      <c r="B163" s="17"/>
      <c r="C163" s="17"/>
      <c r="D163" s="487"/>
      <c r="E163" s="487"/>
      <c r="F163" s="487"/>
      <c r="G163" s="487"/>
      <c r="H163" s="17"/>
      <c r="I163" s="492"/>
      <c r="J163" s="489" t="str">
        <f>IFERROR(VLOOKUP($Q163,FeeLookup!$J$5:$L$33,2,FALSE),"")</f>
        <v/>
      </c>
      <c r="K163" s="489" t="str">
        <f>IFERROR(VLOOKUP($Q163,FeeLookup!$J$5:$L$33,3,FALSE),"")</f>
        <v/>
      </c>
      <c r="L163" s="413" t="s">
        <v>29</v>
      </c>
      <c r="M163" s="414">
        <v>142</v>
      </c>
      <c r="N163" s="5">
        <f t="shared" si="38"/>
        <v>0</v>
      </c>
      <c r="O163" s="12" t="str">
        <f t="shared" si="39"/>
        <v>TEF</v>
      </c>
      <c r="P163" s="12" t="str">
        <f t="shared" si="40"/>
        <v/>
      </c>
      <c r="Q163" s="13" t="str">
        <f t="shared" si="41"/>
        <v>_TEF_</v>
      </c>
      <c r="R163" s="13" t="str">
        <f t="shared" si="42"/>
        <v/>
      </c>
      <c r="S163" s="12" t="str">
        <f t="shared" si="43"/>
        <v/>
      </c>
      <c r="T163" s="12" t="str">
        <f t="shared" si="35"/>
        <v/>
      </c>
      <c r="U163" s="12" t="str">
        <f t="shared" si="36"/>
        <v>NO</v>
      </c>
      <c r="V163" s="14" t="str">
        <f t="shared" si="44"/>
        <v/>
      </c>
      <c r="W163" s="14" t="str">
        <f t="shared" si="45"/>
        <v/>
      </c>
      <c r="X163" s="14" t="str">
        <f t="shared" si="46"/>
        <v/>
      </c>
      <c r="Y163" s="15" t="str">
        <f t="shared" si="37"/>
        <v/>
      </c>
      <c r="Z163" s="342">
        <f t="shared" si="47"/>
        <v>0</v>
      </c>
      <c r="AA163" s="342">
        <f t="shared" si="31"/>
        <v>0</v>
      </c>
      <c r="AB163" s="342">
        <f t="shared" si="32"/>
        <v>0</v>
      </c>
      <c r="AC163" s="342">
        <f t="shared" si="33"/>
        <v>0</v>
      </c>
    </row>
    <row r="164" spans="1:29" ht="12.75" customHeight="1" x14ac:dyDescent="0.2">
      <c r="A164" s="71">
        <v>143</v>
      </c>
      <c r="B164" s="17"/>
      <c r="C164" s="17"/>
      <c r="D164" s="487"/>
      <c r="E164" s="487"/>
      <c r="F164" s="487"/>
      <c r="G164" s="487"/>
      <c r="H164" s="17"/>
      <c r="I164" s="492"/>
      <c r="J164" s="489" t="str">
        <f>IFERROR(VLOOKUP($Q164,FeeLookup!$J$5:$L$33,2,FALSE),"")</f>
        <v/>
      </c>
      <c r="K164" s="489" t="str">
        <f>IFERROR(VLOOKUP($Q164,FeeLookup!$J$5:$L$33,3,FALSE),"")</f>
        <v/>
      </c>
      <c r="L164" s="413" t="s">
        <v>29</v>
      </c>
      <c r="M164" s="414">
        <v>143</v>
      </c>
      <c r="N164" s="5">
        <f t="shared" si="38"/>
        <v>0</v>
      </c>
      <c r="O164" s="12" t="str">
        <f t="shared" si="39"/>
        <v>TEF</v>
      </c>
      <c r="P164" s="12" t="str">
        <f t="shared" si="40"/>
        <v/>
      </c>
      <c r="Q164" s="13" t="str">
        <f t="shared" si="41"/>
        <v>_TEF_</v>
      </c>
      <c r="R164" s="13" t="str">
        <f t="shared" si="42"/>
        <v/>
      </c>
      <c r="S164" s="12" t="str">
        <f t="shared" si="43"/>
        <v/>
      </c>
      <c r="T164" s="12" t="str">
        <f t="shared" si="35"/>
        <v/>
      </c>
      <c r="U164" s="12" t="str">
        <f t="shared" si="36"/>
        <v>NO</v>
      </c>
      <c r="V164" s="14" t="str">
        <f t="shared" si="44"/>
        <v/>
      </c>
      <c r="W164" s="14" t="str">
        <f t="shared" si="45"/>
        <v/>
      </c>
      <c r="X164" s="14" t="str">
        <f t="shared" si="46"/>
        <v/>
      </c>
      <c r="Y164" s="15" t="str">
        <f t="shared" si="37"/>
        <v/>
      </c>
      <c r="Z164" s="342">
        <f t="shared" si="47"/>
        <v>0</v>
      </c>
      <c r="AA164" s="342">
        <f t="shared" si="31"/>
        <v>0</v>
      </c>
      <c r="AB164" s="342">
        <f t="shared" si="32"/>
        <v>0</v>
      </c>
      <c r="AC164" s="342">
        <f t="shared" si="33"/>
        <v>0</v>
      </c>
    </row>
    <row r="165" spans="1:29" ht="12.75" customHeight="1" x14ac:dyDescent="0.2">
      <c r="A165" s="71">
        <v>144</v>
      </c>
      <c r="B165" s="17"/>
      <c r="C165" s="17"/>
      <c r="D165" s="487"/>
      <c r="E165" s="487"/>
      <c r="F165" s="487"/>
      <c r="G165" s="487"/>
      <c r="H165" s="17"/>
      <c r="I165" s="492"/>
      <c r="J165" s="489" t="str">
        <f>IFERROR(VLOOKUP($Q165,FeeLookup!$J$5:$L$33,2,FALSE),"")</f>
        <v/>
      </c>
      <c r="K165" s="489" t="str">
        <f>IFERROR(VLOOKUP($Q165,FeeLookup!$J$5:$L$33,3,FALSE),"")</f>
        <v/>
      </c>
      <c r="L165" s="413" t="s">
        <v>29</v>
      </c>
      <c r="M165" s="414">
        <v>144</v>
      </c>
      <c r="N165" s="5">
        <f t="shared" si="38"/>
        <v>0</v>
      </c>
      <c r="O165" s="12" t="str">
        <f t="shared" si="39"/>
        <v>TEF</v>
      </c>
      <c r="P165" s="12" t="str">
        <f t="shared" si="40"/>
        <v/>
      </c>
      <c r="Q165" s="13" t="str">
        <f t="shared" si="41"/>
        <v>_TEF_</v>
      </c>
      <c r="R165" s="13" t="str">
        <f t="shared" si="42"/>
        <v/>
      </c>
      <c r="S165" s="12" t="str">
        <f t="shared" si="43"/>
        <v/>
      </c>
      <c r="T165" s="12" t="str">
        <f t="shared" si="35"/>
        <v/>
      </c>
      <c r="U165" s="12" t="str">
        <f t="shared" si="36"/>
        <v>NO</v>
      </c>
      <c r="V165" s="14" t="str">
        <f t="shared" si="44"/>
        <v/>
      </c>
      <c r="W165" s="14" t="str">
        <f t="shared" si="45"/>
        <v/>
      </c>
      <c r="X165" s="14" t="str">
        <f t="shared" si="46"/>
        <v/>
      </c>
      <c r="Y165" s="15" t="str">
        <f t="shared" si="37"/>
        <v/>
      </c>
      <c r="Z165" s="342">
        <f t="shared" si="47"/>
        <v>0</v>
      </c>
      <c r="AA165" s="342">
        <f t="shared" si="31"/>
        <v>0</v>
      </c>
      <c r="AB165" s="342">
        <f t="shared" si="32"/>
        <v>0</v>
      </c>
      <c r="AC165" s="342">
        <f t="shared" si="33"/>
        <v>0</v>
      </c>
    </row>
    <row r="166" spans="1:29" ht="12.75" customHeight="1" x14ac:dyDescent="0.2">
      <c r="A166" s="71">
        <v>145</v>
      </c>
      <c r="B166" s="17"/>
      <c r="C166" s="17"/>
      <c r="D166" s="487"/>
      <c r="E166" s="487"/>
      <c r="F166" s="487"/>
      <c r="G166" s="487"/>
      <c r="H166" s="17"/>
      <c r="I166" s="492"/>
      <c r="J166" s="489" t="str">
        <f>IFERROR(VLOOKUP($Q166,FeeLookup!$J$5:$L$33,2,FALSE),"")</f>
        <v/>
      </c>
      <c r="K166" s="489" t="str">
        <f>IFERROR(VLOOKUP($Q166,FeeLookup!$J$5:$L$33,3,FALSE),"")</f>
        <v/>
      </c>
      <c r="L166" s="413" t="s">
        <v>29</v>
      </c>
      <c r="M166" s="414">
        <v>145</v>
      </c>
      <c r="N166" s="5">
        <f t="shared" si="38"/>
        <v>0</v>
      </c>
      <c r="O166" s="12" t="str">
        <f t="shared" si="39"/>
        <v>TEF</v>
      </c>
      <c r="P166" s="12" t="str">
        <f t="shared" si="40"/>
        <v/>
      </c>
      <c r="Q166" s="13" t="str">
        <f t="shared" si="41"/>
        <v>_TEF_</v>
      </c>
      <c r="R166" s="13" t="str">
        <f t="shared" si="42"/>
        <v/>
      </c>
      <c r="S166" s="12" t="str">
        <f t="shared" si="43"/>
        <v/>
      </c>
      <c r="T166" s="12" t="str">
        <f t="shared" si="35"/>
        <v/>
      </c>
      <c r="U166" s="12" t="str">
        <f t="shared" si="36"/>
        <v>NO</v>
      </c>
      <c r="V166" s="14" t="str">
        <f t="shared" si="44"/>
        <v/>
      </c>
      <c r="W166" s="14" t="str">
        <f t="shared" si="45"/>
        <v/>
      </c>
      <c r="X166" s="14" t="str">
        <f t="shared" si="46"/>
        <v/>
      </c>
      <c r="Y166" s="15" t="str">
        <f t="shared" si="37"/>
        <v/>
      </c>
      <c r="Z166" s="342">
        <f t="shared" si="47"/>
        <v>0</v>
      </c>
      <c r="AA166" s="342">
        <f t="shared" ref="AA166:AA171" si="48">IF(IF(ISERROR($I166-$J166)=TRUE,0,$I166-$J166)&gt;0,E166,0)</f>
        <v>0</v>
      </c>
      <c r="AB166" s="342">
        <f t="shared" ref="AB166:AB171" si="49">IF(IF(ISERROR($I166-$J166)=TRUE,0,$I166-$J166)&gt;0,F166,0)</f>
        <v>0</v>
      </c>
      <c r="AC166" s="342">
        <f t="shared" ref="AC166:AC171" si="50">IF(IF(ISERROR($I166-$J166)=TRUE,0,$I166-$J166)&gt;0,G166,0)</f>
        <v>0</v>
      </c>
    </row>
    <row r="167" spans="1:29" ht="12.75" customHeight="1" x14ac:dyDescent="0.2">
      <c r="A167" s="71">
        <v>146</v>
      </c>
      <c r="B167" s="17"/>
      <c r="C167" s="17"/>
      <c r="D167" s="487"/>
      <c r="E167" s="487"/>
      <c r="F167" s="487"/>
      <c r="G167" s="487"/>
      <c r="H167" s="17"/>
      <c r="I167" s="492"/>
      <c r="J167" s="489" t="str">
        <f>IFERROR(VLOOKUP($Q167,FeeLookup!$J$5:$L$33,2,FALSE),"")</f>
        <v/>
      </c>
      <c r="K167" s="489" t="str">
        <f>IFERROR(VLOOKUP($Q167,FeeLookup!$J$5:$L$33,3,FALSE),"")</f>
        <v/>
      </c>
      <c r="L167" s="413" t="s">
        <v>29</v>
      </c>
      <c r="M167" s="414">
        <v>146</v>
      </c>
      <c r="N167" s="5">
        <f t="shared" si="38"/>
        <v>0</v>
      </c>
      <c r="O167" s="12" t="str">
        <f t="shared" si="39"/>
        <v>TEF</v>
      </c>
      <c r="P167" s="12" t="str">
        <f t="shared" si="40"/>
        <v/>
      </c>
      <c r="Q167" s="13" t="str">
        <f t="shared" si="41"/>
        <v>_TEF_</v>
      </c>
      <c r="R167" s="13" t="str">
        <f t="shared" si="42"/>
        <v/>
      </c>
      <c r="S167" s="12" t="str">
        <f t="shared" si="43"/>
        <v/>
      </c>
      <c r="T167" s="12" t="str">
        <f t="shared" si="35"/>
        <v/>
      </c>
      <c r="U167" s="12" t="str">
        <f t="shared" si="36"/>
        <v>NO</v>
      </c>
      <c r="V167" s="14" t="str">
        <f t="shared" si="44"/>
        <v/>
      </c>
      <c r="W167" s="14" t="str">
        <f t="shared" si="45"/>
        <v/>
      </c>
      <c r="X167" s="14" t="str">
        <f t="shared" si="46"/>
        <v/>
      </c>
      <c r="Y167" s="15" t="str">
        <f t="shared" si="37"/>
        <v/>
      </c>
      <c r="Z167" s="342">
        <f t="shared" si="47"/>
        <v>0</v>
      </c>
      <c r="AA167" s="342">
        <f t="shared" si="48"/>
        <v>0</v>
      </c>
      <c r="AB167" s="342">
        <f t="shared" si="49"/>
        <v>0</v>
      </c>
      <c r="AC167" s="342">
        <f t="shared" si="50"/>
        <v>0</v>
      </c>
    </row>
    <row r="168" spans="1:29" ht="12.75" customHeight="1" x14ac:dyDescent="0.2">
      <c r="A168" s="71">
        <v>147</v>
      </c>
      <c r="B168" s="17"/>
      <c r="C168" s="17"/>
      <c r="D168" s="487"/>
      <c r="E168" s="487"/>
      <c r="F168" s="487"/>
      <c r="G168" s="487"/>
      <c r="H168" s="17"/>
      <c r="I168" s="492"/>
      <c r="J168" s="489" t="str">
        <f>IFERROR(VLOOKUP($Q168,FeeLookup!$J$5:$L$33,2,FALSE),"")</f>
        <v/>
      </c>
      <c r="K168" s="489" t="str">
        <f>IFERROR(VLOOKUP($Q168,FeeLookup!$J$5:$L$33,3,FALSE),"")</f>
        <v/>
      </c>
      <c r="L168" s="413" t="s">
        <v>29</v>
      </c>
      <c r="M168" s="414">
        <v>147</v>
      </c>
      <c r="N168" s="5">
        <f t="shared" si="38"/>
        <v>0</v>
      </c>
      <c r="O168" s="12" t="str">
        <f t="shared" si="39"/>
        <v>TEF</v>
      </c>
      <c r="P168" s="12" t="str">
        <f t="shared" si="40"/>
        <v/>
      </c>
      <c r="Q168" s="13" t="str">
        <f t="shared" si="41"/>
        <v>_TEF_</v>
      </c>
      <c r="R168" s="13" t="str">
        <f t="shared" si="42"/>
        <v/>
      </c>
      <c r="S168" s="12" t="str">
        <f t="shared" si="43"/>
        <v/>
      </c>
      <c r="T168" s="12" t="str">
        <f t="shared" si="35"/>
        <v/>
      </c>
      <c r="U168" s="12" t="str">
        <f t="shared" si="36"/>
        <v>NO</v>
      </c>
      <c r="V168" s="14" t="str">
        <f t="shared" si="44"/>
        <v/>
      </c>
      <c r="W168" s="14" t="str">
        <f t="shared" si="45"/>
        <v/>
      </c>
      <c r="X168" s="14" t="str">
        <f t="shared" si="46"/>
        <v/>
      </c>
      <c r="Y168" s="15" t="str">
        <f t="shared" si="37"/>
        <v/>
      </c>
      <c r="Z168" s="342">
        <f t="shared" si="47"/>
        <v>0</v>
      </c>
      <c r="AA168" s="342">
        <f t="shared" si="48"/>
        <v>0</v>
      </c>
      <c r="AB168" s="342">
        <f t="shared" si="49"/>
        <v>0</v>
      </c>
      <c r="AC168" s="342">
        <f t="shared" si="50"/>
        <v>0</v>
      </c>
    </row>
    <row r="169" spans="1:29" ht="12.75" customHeight="1" x14ac:dyDescent="0.2">
      <c r="A169" s="71">
        <v>148</v>
      </c>
      <c r="B169" s="17"/>
      <c r="C169" s="17"/>
      <c r="D169" s="487"/>
      <c r="E169" s="487"/>
      <c r="F169" s="487"/>
      <c r="G169" s="487"/>
      <c r="H169" s="17"/>
      <c r="I169" s="492"/>
      <c r="J169" s="489" t="str">
        <f>IFERROR(VLOOKUP($Q169,FeeLookup!$J$5:$L$33,2,FALSE),"")</f>
        <v/>
      </c>
      <c r="K169" s="489" t="str">
        <f>IFERROR(VLOOKUP($Q169,FeeLookup!$J$5:$L$33,3,FALSE),"")</f>
        <v/>
      </c>
      <c r="L169" s="413" t="s">
        <v>29</v>
      </c>
      <c r="M169" s="414">
        <v>148</v>
      </c>
      <c r="N169" s="5">
        <f t="shared" si="38"/>
        <v>0</v>
      </c>
      <c r="O169" s="12" t="str">
        <f t="shared" si="39"/>
        <v>TEF</v>
      </c>
      <c r="P169" s="12" t="str">
        <f t="shared" si="40"/>
        <v/>
      </c>
      <c r="Q169" s="13" t="str">
        <f t="shared" si="41"/>
        <v>_TEF_</v>
      </c>
      <c r="R169" s="13" t="str">
        <f t="shared" si="42"/>
        <v/>
      </c>
      <c r="S169" s="12" t="str">
        <f t="shared" si="43"/>
        <v/>
      </c>
      <c r="T169" s="12" t="str">
        <f t="shared" si="35"/>
        <v/>
      </c>
      <c r="U169" s="12" t="str">
        <f t="shared" si="36"/>
        <v>NO</v>
      </c>
      <c r="V169" s="14" t="str">
        <f t="shared" si="44"/>
        <v/>
      </c>
      <c r="W169" s="14" t="str">
        <f t="shared" si="45"/>
        <v/>
      </c>
      <c r="X169" s="14" t="str">
        <f t="shared" si="46"/>
        <v/>
      </c>
      <c r="Y169" s="15" t="str">
        <f t="shared" si="37"/>
        <v/>
      </c>
      <c r="Z169" s="342">
        <f t="shared" si="47"/>
        <v>0</v>
      </c>
      <c r="AA169" s="342">
        <f t="shared" si="48"/>
        <v>0</v>
      </c>
      <c r="AB169" s="342">
        <f t="shared" si="49"/>
        <v>0</v>
      </c>
      <c r="AC169" s="342">
        <f t="shared" si="50"/>
        <v>0</v>
      </c>
    </row>
    <row r="170" spans="1:29" ht="12.75" customHeight="1" x14ac:dyDescent="0.2">
      <c r="A170" s="71">
        <v>149</v>
      </c>
      <c r="B170" s="17"/>
      <c r="C170" s="17"/>
      <c r="D170" s="487"/>
      <c r="E170" s="487"/>
      <c r="F170" s="487"/>
      <c r="G170" s="487"/>
      <c r="H170" s="17"/>
      <c r="I170" s="492"/>
      <c r="J170" s="489" t="str">
        <f>IFERROR(VLOOKUP($Q170,FeeLookup!$J$5:$L$33,2,FALSE),"")</f>
        <v/>
      </c>
      <c r="K170" s="489" t="str">
        <f>IFERROR(VLOOKUP($Q170,FeeLookup!$J$5:$L$33,3,FALSE),"")</f>
        <v/>
      </c>
      <c r="L170" s="413" t="s">
        <v>29</v>
      </c>
      <c r="M170" s="414">
        <v>149</v>
      </c>
      <c r="N170" s="5">
        <f t="shared" si="38"/>
        <v>0</v>
      </c>
      <c r="O170" s="12" t="str">
        <f t="shared" si="39"/>
        <v>TEF</v>
      </c>
      <c r="P170" s="12" t="str">
        <f t="shared" si="40"/>
        <v/>
      </c>
      <c r="Q170" s="13" t="str">
        <f t="shared" si="41"/>
        <v>_TEF_</v>
      </c>
      <c r="R170" s="13" t="str">
        <f t="shared" si="42"/>
        <v/>
      </c>
      <c r="S170" s="12" t="str">
        <f t="shared" si="43"/>
        <v/>
      </c>
      <c r="T170" s="12" t="str">
        <f t="shared" si="35"/>
        <v/>
      </c>
      <c r="U170" s="12" t="str">
        <f t="shared" si="36"/>
        <v>NO</v>
      </c>
      <c r="V170" s="14" t="str">
        <f t="shared" si="44"/>
        <v/>
      </c>
      <c r="W170" s="14" t="str">
        <f t="shared" si="45"/>
        <v/>
      </c>
      <c r="X170" s="14" t="str">
        <f t="shared" si="46"/>
        <v/>
      </c>
      <c r="Y170" s="15" t="str">
        <f t="shared" si="37"/>
        <v/>
      </c>
      <c r="Z170" s="342">
        <f t="shared" si="47"/>
        <v>0</v>
      </c>
      <c r="AA170" s="342">
        <f t="shared" si="48"/>
        <v>0</v>
      </c>
      <c r="AB170" s="342">
        <f t="shared" si="49"/>
        <v>0</v>
      </c>
      <c r="AC170" s="342">
        <f t="shared" si="50"/>
        <v>0</v>
      </c>
    </row>
    <row r="171" spans="1:29" ht="12.75" customHeight="1" x14ac:dyDescent="0.2">
      <c r="A171" s="84">
        <v>150</v>
      </c>
      <c r="B171" s="472"/>
      <c r="C171" s="472"/>
      <c r="D171" s="488"/>
      <c r="E171" s="488"/>
      <c r="F171" s="488"/>
      <c r="G171" s="488"/>
      <c r="H171" s="472"/>
      <c r="I171" s="474"/>
      <c r="J171" s="475" t="str">
        <f>IFERROR(VLOOKUP($Q171,FeeLookup!$J$5:$L$33,2,FALSE),"")</f>
        <v/>
      </c>
      <c r="K171" s="475" t="str">
        <f>IFERROR(VLOOKUP($Q171,FeeLookup!$J$5:$L$33,3,FALSE),"")</f>
        <v/>
      </c>
      <c r="L171" s="413" t="s">
        <v>29</v>
      </c>
      <c r="M171" s="414">
        <v>150</v>
      </c>
      <c r="N171" s="5">
        <f t="shared" si="38"/>
        <v>0</v>
      </c>
      <c r="O171" s="12" t="str">
        <f t="shared" si="39"/>
        <v>TEF</v>
      </c>
      <c r="P171" s="12" t="str">
        <f t="shared" si="40"/>
        <v/>
      </c>
      <c r="Q171" s="13" t="str">
        <f t="shared" si="41"/>
        <v>_TEF_</v>
      </c>
      <c r="R171" s="13" t="str">
        <f t="shared" si="42"/>
        <v/>
      </c>
      <c r="S171" s="12" t="str">
        <f t="shared" si="43"/>
        <v/>
      </c>
      <c r="T171" s="12" t="str">
        <f t="shared" si="35"/>
        <v/>
      </c>
      <c r="U171" s="12" t="str">
        <f t="shared" si="36"/>
        <v>NO</v>
      </c>
      <c r="V171" s="14" t="str">
        <f t="shared" si="44"/>
        <v/>
      </c>
      <c r="W171" s="14" t="str">
        <f t="shared" si="45"/>
        <v/>
      </c>
      <c r="X171" s="14" t="str">
        <f t="shared" si="46"/>
        <v/>
      </c>
      <c r="Y171" s="15" t="str">
        <f t="shared" si="37"/>
        <v/>
      </c>
      <c r="Z171" s="342">
        <f t="shared" si="47"/>
        <v>0</v>
      </c>
      <c r="AA171" s="342">
        <f t="shared" si="48"/>
        <v>0</v>
      </c>
      <c r="AB171" s="342">
        <f t="shared" si="49"/>
        <v>0</v>
      </c>
      <c r="AC171" s="342">
        <f t="shared" si="50"/>
        <v>0</v>
      </c>
    </row>
    <row r="172" spans="1:29" hidden="1" x14ac:dyDescent="0.2">
      <c r="A172" s="21"/>
      <c r="B172" s="21"/>
      <c r="D172" s="22"/>
      <c r="H172" s="21"/>
    </row>
    <row r="173" spans="1:29" ht="12.75" hidden="1" customHeight="1" x14ac:dyDescent="0.2">
      <c r="A173" s="8">
        <v>1</v>
      </c>
      <c r="B173" s="161"/>
      <c r="C173" s="161"/>
      <c r="D173" s="450"/>
      <c r="E173" s="451"/>
      <c r="F173" s="451"/>
      <c r="G173" s="451"/>
      <c r="H173" s="161"/>
      <c r="I173" s="452"/>
      <c r="J173" s="11" t="str">
        <f>IFERROR(VLOOKUP($Q173,FeeLookup!$J$5:$L$33,2,FALSE),"")</f>
        <v/>
      </c>
      <c r="K173" s="11" t="str">
        <f>IFERROR(VLOOKUP($Q173,FeeLookup!$J$5:$L$33,3,FALSE),"")</f>
        <v/>
      </c>
      <c r="L173" s="413"/>
      <c r="M173" s="414"/>
      <c r="N173" s="5"/>
      <c r="O173" s="12" t="e">
        <f>RIGHT(#REF!,LEN(#REF!)-20)</f>
        <v>#REF!</v>
      </c>
      <c r="P173" s="12" t="str">
        <f t="shared" ref="P173:P204" si="51">IF(B173="","",IF(B173="Erasmus and overseas study years","LOWER",IF(B173="Sandwich course","SAND","FULL")))</f>
        <v/>
      </c>
      <c r="Q173" s="13" t="e">
        <f t="shared" ref="Q173:Q236" si="52">CONCATENATE(P173,IF(O173="No TEF","_NO_TEF_",IF(O173="TEF2","_TEF2_","")))</f>
        <v>#REF!</v>
      </c>
      <c r="R173" s="13" t="e">
        <f>IF(#REF!="","",IF(#REF!="","0",#REF!))</f>
        <v>#REF!</v>
      </c>
      <c r="S173" s="12" t="e">
        <f>IF(OR(#REF!="",J173=""),"",IF(OR((R173-#REF!)&gt;0,(I173-J173)&gt;0),"YES","NO"))</f>
        <v>#REF!</v>
      </c>
      <c r="T173" s="12" t="str">
        <f t="shared" ref="T173:T236" si="53">IF(I173="","",IF(I173&lt;J173,"BBFC",IF(I173&gt;K173,"AHFC","BBHFC")))</f>
        <v/>
      </c>
      <c r="U173" s="12" t="str">
        <f t="shared" ref="U173:U204" si="54">IF(COUNTBLANK(B173:I173)=12,"NO","YES")</f>
        <v>YES</v>
      </c>
      <c r="V173" s="14" t="e">
        <f>IF(U173="NO","",IF(AND((COUNTBLANK(B173:B173)=0),OR(COUNTBLANK(I173)=0,COUNTBLANK(#REF!)=0),OR(COUNTBLANK(D173:G173)&lt;&gt;4,COUNTBLANK(#REF!)=0)),"YES","NO"))</f>
        <v>#REF!</v>
      </c>
      <c r="W173" s="14" t="e">
        <f>IF(U173="NO","",IF(SUM(#REF!,D173:G173)&gt;0,"YES","NO"))</f>
        <v>#REF!</v>
      </c>
      <c r="X173" s="14" t="e">
        <f>IF(OR(V173="NO",W173="NO",T173="AHFC",#REF!="AHFC"),"FLAG","")</f>
        <v>#REF!</v>
      </c>
      <c r="Y173" s="15" t="e">
        <f t="shared" ref="Y173:Y236" si="55">IF(OR(I173="",V173=""),"",IF(I173-J173&lt;0,0,I173-J173))</f>
        <v>#REF!</v>
      </c>
    </row>
    <row r="174" spans="1:29" ht="12.75" hidden="1" customHeight="1" x14ac:dyDescent="0.2">
      <c r="A174" s="16">
        <v>2</v>
      </c>
      <c r="B174" s="422"/>
      <c r="C174" s="422"/>
      <c r="D174" s="453"/>
      <c r="E174" s="453"/>
      <c r="F174" s="453"/>
      <c r="G174" s="453"/>
      <c r="H174" s="422"/>
      <c r="I174" s="454"/>
      <c r="J174" s="11" t="str">
        <f>IFERROR(VLOOKUP($Q174,FeeLookup!$J$5:$L$33,2,FALSE),"")</f>
        <v/>
      </c>
      <c r="K174" s="11" t="str">
        <f>IFERROR(VLOOKUP($Q174,FeeLookup!$J$5:$L$33,3,FALSE),"")</f>
        <v/>
      </c>
      <c r="L174" s="413"/>
      <c r="M174" s="414"/>
      <c r="N174" s="5"/>
      <c r="O174" s="12" t="e">
        <f>RIGHT(#REF!,LEN(#REF!)-20)</f>
        <v>#REF!</v>
      </c>
      <c r="P174" s="12" t="str">
        <f t="shared" si="51"/>
        <v/>
      </c>
      <c r="Q174" s="13" t="e">
        <f t="shared" si="52"/>
        <v>#REF!</v>
      </c>
      <c r="R174" s="13" t="e">
        <f>IF(#REF!="","",IF(#REF!="","0",#REF!))</f>
        <v>#REF!</v>
      </c>
      <c r="S174" s="12" t="e">
        <f>IF(OR(#REF!="",J174=""),"",IF(OR((R174-#REF!)&gt;0,(I174-J174)&gt;0),"YES","NO"))</f>
        <v>#REF!</v>
      </c>
      <c r="T174" s="12" t="str">
        <f t="shared" si="53"/>
        <v/>
      </c>
      <c r="U174" s="12" t="str">
        <f t="shared" si="54"/>
        <v>YES</v>
      </c>
      <c r="V174" s="14" t="e">
        <f>IF(U174="NO","",IF(AND((COUNTBLANK(B174:B174)=0),OR(COUNTBLANK(I174)=0,COUNTBLANK(#REF!)=0),OR(COUNTBLANK(D174:G174)&lt;&gt;4,COUNTBLANK(#REF!)=0)),"YES","NO"))</f>
        <v>#REF!</v>
      </c>
      <c r="W174" s="14" t="e">
        <f>IF(U174="NO","",IF(SUM(#REF!,D174:G174)&gt;0,"YES","NO"))</f>
        <v>#REF!</v>
      </c>
      <c r="X174" s="14" t="e">
        <f>IF(OR(V174="NO",W174="NO",T174="AHFC",#REF!="AHFC"),"FLAG","")</f>
        <v>#REF!</v>
      </c>
      <c r="Y174" s="15" t="e">
        <f t="shared" si="55"/>
        <v>#REF!</v>
      </c>
    </row>
    <row r="175" spans="1:29" ht="12.75" hidden="1" customHeight="1" x14ac:dyDescent="0.2">
      <c r="A175" s="16">
        <v>3</v>
      </c>
      <c r="B175" s="422"/>
      <c r="C175" s="422"/>
      <c r="D175" s="453"/>
      <c r="E175" s="453"/>
      <c r="F175" s="453"/>
      <c r="G175" s="453"/>
      <c r="H175" s="422"/>
      <c r="I175" s="454"/>
      <c r="J175" s="11" t="str">
        <f>IFERROR(VLOOKUP($Q175,FeeLookup!$J$5:$L$33,2,FALSE),"")</f>
        <v/>
      </c>
      <c r="K175" s="11" t="str">
        <f>IFERROR(VLOOKUP($Q175,FeeLookup!$J$5:$L$33,3,FALSE),"")</f>
        <v/>
      </c>
      <c r="L175" s="413"/>
      <c r="M175" s="414"/>
      <c r="N175" s="5"/>
      <c r="O175" s="12" t="e">
        <f>RIGHT(#REF!,LEN(#REF!)-20)</f>
        <v>#REF!</v>
      </c>
      <c r="P175" s="12" t="str">
        <f t="shared" si="51"/>
        <v/>
      </c>
      <c r="Q175" s="13" t="e">
        <f t="shared" si="52"/>
        <v>#REF!</v>
      </c>
      <c r="R175" s="13" t="e">
        <f>IF(#REF!="","",IF(#REF!="","0",#REF!))</f>
        <v>#REF!</v>
      </c>
      <c r="S175" s="12" t="e">
        <f>IF(OR(#REF!="",J175=""),"",IF(OR((R175-#REF!)&gt;0,(I175-J175)&gt;0),"YES","NO"))</f>
        <v>#REF!</v>
      </c>
      <c r="T175" s="12" t="str">
        <f t="shared" si="53"/>
        <v/>
      </c>
      <c r="U175" s="12" t="str">
        <f t="shared" si="54"/>
        <v>YES</v>
      </c>
      <c r="V175" s="14" t="e">
        <f>IF(U175="NO","",IF(AND((COUNTBLANK(B175:B175)=0),OR(COUNTBLANK(I175)=0,COUNTBLANK(#REF!)=0),OR(COUNTBLANK(D175:G175)&lt;&gt;4,COUNTBLANK(#REF!)=0)),"YES","NO"))</f>
        <v>#REF!</v>
      </c>
      <c r="W175" s="14" t="e">
        <f>IF(U175="NO","",IF(SUM(#REF!,D175:G175)&gt;0,"YES","NO"))</f>
        <v>#REF!</v>
      </c>
      <c r="X175" s="14" t="e">
        <f>IF(OR(V175="NO",W175="NO",T175="AHFC",#REF!="AHFC"),"FLAG","")</f>
        <v>#REF!</v>
      </c>
      <c r="Y175" s="15" t="e">
        <f t="shared" si="55"/>
        <v>#REF!</v>
      </c>
    </row>
    <row r="176" spans="1:29" ht="12.75" hidden="1" customHeight="1" x14ac:dyDescent="0.2">
      <c r="A176" s="16">
        <v>4</v>
      </c>
      <c r="B176" s="422"/>
      <c r="C176" s="422"/>
      <c r="D176" s="453"/>
      <c r="E176" s="453"/>
      <c r="F176" s="453"/>
      <c r="G176" s="453"/>
      <c r="H176" s="422"/>
      <c r="I176" s="454"/>
      <c r="J176" s="19" t="str">
        <f>IFERROR(VLOOKUP($Q176,FeeLookup!$J$5:$L$33,2,FALSE),"")</f>
        <v/>
      </c>
      <c r="K176" s="19" t="str">
        <f>IFERROR(VLOOKUP($Q176,FeeLookup!$J$5:$L$33,3,FALSE),"")</f>
        <v/>
      </c>
      <c r="L176" s="413"/>
      <c r="M176" s="414"/>
      <c r="N176" s="5"/>
      <c r="O176" s="12" t="e">
        <f>RIGHT(#REF!,LEN(#REF!)-20)</f>
        <v>#REF!</v>
      </c>
      <c r="P176" s="12" t="str">
        <f t="shared" si="51"/>
        <v/>
      </c>
      <c r="Q176" s="13" t="e">
        <f t="shared" si="52"/>
        <v>#REF!</v>
      </c>
      <c r="R176" s="13" t="e">
        <f>IF(#REF!="","",IF(#REF!="","0",#REF!))</f>
        <v>#REF!</v>
      </c>
      <c r="S176" s="12" t="e">
        <f>IF(OR(#REF!="",J176=""),"",IF(OR((R176-#REF!)&gt;0,(I176-J176)&gt;0),"YES","NO"))</f>
        <v>#REF!</v>
      </c>
      <c r="T176" s="12" t="str">
        <f t="shared" si="53"/>
        <v/>
      </c>
      <c r="U176" s="12" t="str">
        <f t="shared" si="54"/>
        <v>YES</v>
      </c>
      <c r="V176" s="14" t="e">
        <f>IF(U176="NO","",IF(AND((COUNTBLANK(B176:B176)=0),OR(COUNTBLANK(I176)=0,COUNTBLANK(#REF!)=0),OR(COUNTBLANK(D176:G176)&lt;&gt;4,COUNTBLANK(#REF!)=0)),"YES","NO"))</f>
        <v>#REF!</v>
      </c>
      <c r="W176" s="14" t="e">
        <f>IF(U176="NO","",IF(SUM(#REF!,D176:G176)&gt;0,"YES","NO"))</f>
        <v>#REF!</v>
      </c>
      <c r="X176" s="14" t="e">
        <f>IF(OR(V176="NO",W176="NO",T176="AHFC",#REF!="AHFC"),"FLAG","")</f>
        <v>#REF!</v>
      </c>
      <c r="Y176" s="15" t="e">
        <f t="shared" si="55"/>
        <v>#REF!</v>
      </c>
    </row>
    <row r="177" spans="1:25" ht="12.75" hidden="1" customHeight="1" x14ac:dyDescent="0.2">
      <c r="A177" s="8">
        <v>5</v>
      </c>
      <c r="B177" s="161"/>
      <c r="C177" s="161"/>
      <c r="D177" s="451"/>
      <c r="E177" s="451"/>
      <c r="F177" s="451"/>
      <c r="G177" s="451"/>
      <c r="H177" s="161"/>
      <c r="I177" s="452"/>
      <c r="J177" s="20" t="str">
        <f>IFERROR(VLOOKUP($Q177,FeeLookup!$J$5:$L$33,2,FALSE),"")</f>
        <v/>
      </c>
      <c r="K177" s="20" t="str">
        <f>IFERROR(VLOOKUP($Q177,FeeLookup!$J$5:$L$33,3,FALSE),"")</f>
        <v/>
      </c>
      <c r="L177" s="413"/>
      <c r="M177" s="414"/>
      <c r="N177" s="5"/>
      <c r="O177" s="12" t="e">
        <f>RIGHT(#REF!,LEN(#REF!)-20)</f>
        <v>#REF!</v>
      </c>
      <c r="P177" s="12" t="str">
        <f t="shared" si="51"/>
        <v/>
      </c>
      <c r="Q177" s="13" t="e">
        <f t="shared" si="52"/>
        <v>#REF!</v>
      </c>
      <c r="R177" s="13" t="e">
        <f>IF(#REF!="","",IF(#REF!="","0",#REF!))</f>
        <v>#REF!</v>
      </c>
      <c r="S177" s="12" t="e">
        <f>IF(OR(#REF!="",J177=""),"",IF(OR((R177-#REF!)&gt;0,(I177-J177)&gt;0),"YES","NO"))</f>
        <v>#REF!</v>
      </c>
      <c r="T177" s="12" t="str">
        <f t="shared" si="53"/>
        <v/>
      </c>
      <c r="U177" s="12" t="str">
        <f t="shared" si="54"/>
        <v>YES</v>
      </c>
      <c r="V177" s="14" t="e">
        <f>IF(U177="NO","",IF(AND((COUNTBLANK(B177:B177)=0),OR(COUNTBLANK(I177)=0,COUNTBLANK(#REF!)=0),OR(COUNTBLANK(D177:G177)&lt;&gt;4,COUNTBLANK(#REF!)=0)),"YES","NO"))</f>
        <v>#REF!</v>
      </c>
      <c r="W177" s="14" t="e">
        <f>IF(U177="NO","",IF(SUM(#REF!,D177:G177)&gt;0,"YES","NO"))</f>
        <v>#REF!</v>
      </c>
      <c r="X177" s="14" t="e">
        <f>IF(OR(V177="NO",W177="NO",T177="AHFC",#REF!="AHFC"),"FLAG","")</f>
        <v>#REF!</v>
      </c>
      <c r="Y177" s="15" t="e">
        <f t="shared" si="55"/>
        <v>#REF!</v>
      </c>
    </row>
    <row r="178" spans="1:25" ht="12.75" hidden="1" customHeight="1" x14ac:dyDescent="0.2">
      <c r="A178" s="16">
        <v>6</v>
      </c>
      <c r="B178" s="422"/>
      <c r="C178" s="422"/>
      <c r="D178" s="453"/>
      <c r="E178" s="453"/>
      <c r="F178" s="453"/>
      <c r="G178" s="453"/>
      <c r="H178" s="422"/>
      <c r="I178" s="454"/>
      <c r="J178" s="11" t="str">
        <f>IFERROR(VLOOKUP($Q178,FeeLookup!$J$5:$L$33,2,FALSE),"")</f>
        <v/>
      </c>
      <c r="K178" s="11" t="str">
        <f>IFERROR(VLOOKUP($Q178,FeeLookup!$J$5:$L$33,3,FALSE),"")</f>
        <v/>
      </c>
      <c r="L178" s="413"/>
      <c r="M178" s="414"/>
      <c r="N178" s="5"/>
      <c r="O178" s="12" t="e">
        <f>RIGHT(#REF!,LEN(#REF!)-20)</f>
        <v>#REF!</v>
      </c>
      <c r="P178" s="12" t="str">
        <f t="shared" si="51"/>
        <v/>
      </c>
      <c r="Q178" s="13" t="e">
        <f t="shared" si="52"/>
        <v>#REF!</v>
      </c>
      <c r="R178" s="13" t="e">
        <f>IF(#REF!="","",IF(#REF!="","0",#REF!))</f>
        <v>#REF!</v>
      </c>
      <c r="S178" s="12" t="e">
        <f>IF(OR(#REF!="",J178=""),"",IF(OR((R178-#REF!)&gt;0,(I178-J178)&gt;0),"YES","NO"))</f>
        <v>#REF!</v>
      </c>
      <c r="T178" s="12" t="str">
        <f t="shared" si="53"/>
        <v/>
      </c>
      <c r="U178" s="12" t="str">
        <f t="shared" si="54"/>
        <v>YES</v>
      </c>
      <c r="V178" s="14" t="e">
        <f>IF(U178="NO","",IF(AND((COUNTBLANK(B178:B178)=0),OR(COUNTBLANK(I178)=0,COUNTBLANK(#REF!)=0),OR(COUNTBLANK(D178:G178)&lt;&gt;4,COUNTBLANK(#REF!)=0)),"YES","NO"))</f>
        <v>#REF!</v>
      </c>
      <c r="W178" s="14" t="e">
        <f>IF(U178="NO","",IF(SUM(#REF!,D178:G178)&gt;0,"YES","NO"))</f>
        <v>#REF!</v>
      </c>
      <c r="X178" s="14" t="e">
        <f>IF(OR(V178="NO",W178="NO",T178="AHFC",#REF!="AHFC"),"FLAG","")</f>
        <v>#REF!</v>
      </c>
      <c r="Y178" s="15" t="e">
        <f t="shared" si="55"/>
        <v>#REF!</v>
      </c>
    </row>
    <row r="179" spans="1:25" ht="12.75" hidden="1" customHeight="1" x14ac:dyDescent="0.2">
      <c r="A179" s="16">
        <v>7</v>
      </c>
      <c r="B179" s="422"/>
      <c r="C179" s="422"/>
      <c r="D179" s="453"/>
      <c r="E179" s="453"/>
      <c r="F179" s="453"/>
      <c r="G179" s="453"/>
      <c r="H179" s="422"/>
      <c r="I179" s="454"/>
      <c r="J179" s="11" t="str">
        <f>IFERROR(VLOOKUP($Q179,FeeLookup!$J$5:$L$33,2,FALSE),"")</f>
        <v/>
      </c>
      <c r="K179" s="11" t="str">
        <f>IFERROR(VLOOKUP($Q179,FeeLookup!$J$5:$L$33,3,FALSE),"")</f>
        <v/>
      </c>
      <c r="L179" s="413"/>
      <c r="M179" s="414"/>
      <c r="N179" s="5"/>
      <c r="O179" s="12" t="e">
        <f>RIGHT(#REF!,LEN(#REF!)-20)</f>
        <v>#REF!</v>
      </c>
      <c r="P179" s="12" t="str">
        <f t="shared" si="51"/>
        <v/>
      </c>
      <c r="Q179" s="13" t="e">
        <f t="shared" si="52"/>
        <v>#REF!</v>
      </c>
      <c r="R179" s="13" t="e">
        <f>IF(#REF!="","",IF(#REF!="","0",#REF!))</f>
        <v>#REF!</v>
      </c>
      <c r="S179" s="12" t="e">
        <f>IF(OR(#REF!="",J179=""),"",IF(OR((R179-#REF!)&gt;0,(I179-J179)&gt;0),"YES","NO"))</f>
        <v>#REF!</v>
      </c>
      <c r="T179" s="12" t="str">
        <f t="shared" si="53"/>
        <v/>
      </c>
      <c r="U179" s="12" t="str">
        <f t="shared" si="54"/>
        <v>YES</v>
      </c>
      <c r="V179" s="14" t="e">
        <f>IF(U179="NO","",IF(AND((COUNTBLANK(B179:B179)=0),OR(COUNTBLANK(I179)=0,COUNTBLANK(#REF!)=0),OR(COUNTBLANK(D179:G179)&lt;&gt;4,COUNTBLANK(#REF!)=0)),"YES","NO"))</f>
        <v>#REF!</v>
      </c>
      <c r="W179" s="14" t="e">
        <f>IF(U179="NO","",IF(SUM(#REF!,D179:G179)&gt;0,"YES","NO"))</f>
        <v>#REF!</v>
      </c>
      <c r="X179" s="14" t="e">
        <f>IF(OR(V179="NO",W179="NO",T179="AHFC",#REF!="AHFC"),"FLAG","")</f>
        <v>#REF!</v>
      </c>
      <c r="Y179" s="15" t="e">
        <f t="shared" si="55"/>
        <v>#REF!</v>
      </c>
    </row>
    <row r="180" spans="1:25" ht="12.75" hidden="1" customHeight="1" x14ac:dyDescent="0.2">
      <c r="A180" s="16">
        <v>8</v>
      </c>
      <c r="B180" s="422"/>
      <c r="C180" s="422"/>
      <c r="D180" s="453"/>
      <c r="E180" s="453"/>
      <c r="F180" s="453"/>
      <c r="G180" s="453"/>
      <c r="H180" s="422"/>
      <c r="I180" s="454"/>
      <c r="J180" s="19" t="str">
        <f>IFERROR(VLOOKUP($Q180,FeeLookup!$J$5:$L$33,2,FALSE),"")</f>
        <v/>
      </c>
      <c r="K180" s="19" t="str">
        <f>IFERROR(VLOOKUP($Q180,FeeLookup!$J$5:$L$33,3,FALSE),"")</f>
        <v/>
      </c>
      <c r="L180" s="413"/>
      <c r="M180" s="414"/>
      <c r="N180" s="5"/>
      <c r="O180" s="12" t="e">
        <f>RIGHT(#REF!,LEN(#REF!)-20)</f>
        <v>#REF!</v>
      </c>
      <c r="P180" s="12" t="str">
        <f t="shared" si="51"/>
        <v/>
      </c>
      <c r="Q180" s="13" t="e">
        <f t="shared" si="52"/>
        <v>#REF!</v>
      </c>
      <c r="R180" s="13" t="e">
        <f>IF(#REF!="","",IF(#REF!="","0",#REF!))</f>
        <v>#REF!</v>
      </c>
      <c r="S180" s="12" t="e">
        <f>IF(OR(#REF!="",J180=""),"",IF(OR((R180-#REF!)&gt;0,(I180-J180)&gt;0),"YES","NO"))</f>
        <v>#REF!</v>
      </c>
      <c r="T180" s="12" t="str">
        <f t="shared" si="53"/>
        <v/>
      </c>
      <c r="U180" s="12" t="str">
        <f t="shared" si="54"/>
        <v>YES</v>
      </c>
      <c r="V180" s="14" t="e">
        <f>IF(U180="NO","",IF(AND((COUNTBLANK(B180:B180)=0),OR(COUNTBLANK(I180)=0,COUNTBLANK(#REF!)=0),OR(COUNTBLANK(D180:G180)&lt;&gt;4,COUNTBLANK(#REF!)=0)),"YES","NO"))</f>
        <v>#REF!</v>
      </c>
      <c r="W180" s="14" t="e">
        <f>IF(U180="NO","",IF(SUM(#REF!,D180:G180)&gt;0,"YES","NO"))</f>
        <v>#REF!</v>
      </c>
      <c r="X180" s="14" t="e">
        <f>IF(OR(V180="NO",W180="NO",T180="AHFC",#REF!="AHFC"),"FLAG","")</f>
        <v>#REF!</v>
      </c>
      <c r="Y180" s="15" t="e">
        <f t="shared" si="55"/>
        <v>#REF!</v>
      </c>
    </row>
    <row r="181" spans="1:25" ht="12.75" hidden="1" customHeight="1" x14ac:dyDescent="0.2">
      <c r="A181" s="8">
        <v>9</v>
      </c>
      <c r="B181" s="161"/>
      <c r="C181" s="161"/>
      <c r="D181" s="451"/>
      <c r="E181" s="451"/>
      <c r="F181" s="451"/>
      <c r="G181" s="451"/>
      <c r="H181" s="161"/>
      <c r="I181" s="452"/>
      <c r="J181" s="20" t="str">
        <f>IFERROR(VLOOKUP($Q181,FeeLookup!$J$5:$L$33,2,FALSE),"")</f>
        <v/>
      </c>
      <c r="K181" s="20" t="str">
        <f>IFERROR(VLOOKUP($Q181,FeeLookup!$J$5:$L$33,3,FALSE),"")</f>
        <v/>
      </c>
      <c r="L181" s="413"/>
      <c r="M181" s="414"/>
      <c r="N181" s="5"/>
      <c r="O181" s="12" t="e">
        <f>RIGHT(#REF!,LEN(#REF!)-20)</f>
        <v>#REF!</v>
      </c>
      <c r="P181" s="12" t="str">
        <f t="shared" si="51"/>
        <v/>
      </c>
      <c r="Q181" s="13" t="e">
        <f t="shared" si="52"/>
        <v>#REF!</v>
      </c>
      <c r="R181" s="13" t="e">
        <f>IF(#REF!="","",IF(#REF!="","0",#REF!))</f>
        <v>#REF!</v>
      </c>
      <c r="S181" s="12" t="e">
        <f>IF(OR(#REF!="",J181=""),"",IF(OR((R181-#REF!)&gt;0,(I181-J181)&gt;0),"YES","NO"))</f>
        <v>#REF!</v>
      </c>
      <c r="T181" s="12" t="str">
        <f t="shared" si="53"/>
        <v/>
      </c>
      <c r="U181" s="12" t="str">
        <f t="shared" si="54"/>
        <v>YES</v>
      </c>
      <c r="V181" s="14" t="e">
        <f>IF(U181="NO","",IF(AND((COUNTBLANK(B181:B181)=0),OR(COUNTBLANK(I181)=0,COUNTBLANK(#REF!)=0),OR(COUNTBLANK(D181:G181)&lt;&gt;4,COUNTBLANK(#REF!)=0)),"YES","NO"))</f>
        <v>#REF!</v>
      </c>
      <c r="W181" s="14" t="e">
        <f>IF(U181="NO","",IF(SUM(#REF!,D181:G181)&gt;0,"YES","NO"))</f>
        <v>#REF!</v>
      </c>
      <c r="X181" s="14" t="e">
        <f>IF(OR(V181="NO",W181="NO",T181="AHFC",#REF!="AHFC"),"FLAG","")</f>
        <v>#REF!</v>
      </c>
      <c r="Y181" s="15" t="e">
        <f t="shared" si="55"/>
        <v>#REF!</v>
      </c>
    </row>
    <row r="182" spans="1:25" ht="12.75" hidden="1" customHeight="1" x14ac:dyDescent="0.2">
      <c r="A182" s="16">
        <v>10</v>
      </c>
      <c r="B182" s="422"/>
      <c r="C182" s="422"/>
      <c r="D182" s="453"/>
      <c r="E182" s="453"/>
      <c r="F182" s="453"/>
      <c r="G182" s="453"/>
      <c r="H182" s="422"/>
      <c r="I182" s="454"/>
      <c r="J182" s="11" t="str">
        <f>IFERROR(VLOOKUP($Q182,FeeLookup!$J$5:$L$33,2,FALSE),"")</f>
        <v/>
      </c>
      <c r="K182" s="11" t="str">
        <f>IFERROR(VLOOKUP($Q182,FeeLookup!$J$5:$L$33,3,FALSE),"")</f>
        <v/>
      </c>
      <c r="L182" s="413"/>
      <c r="M182" s="414"/>
      <c r="N182" s="5"/>
      <c r="O182" s="12" t="e">
        <f>RIGHT(#REF!,LEN(#REF!)-20)</f>
        <v>#REF!</v>
      </c>
      <c r="P182" s="12" t="str">
        <f t="shared" si="51"/>
        <v/>
      </c>
      <c r="Q182" s="13" t="e">
        <f t="shared" si="52"/>
        <v>#REF!</v>
      </c>
      <c r="R182" s="13" t="e">
        <f>IF(#REF!="","",IF(#REF!="","0",#REF!))</f>
        <v>#REF!</v>
      </c>
      <c r="S182" s="12" t="e">
        <f>IF(OR(#REF!="",J182=""),"",IF(OR((R182-#REF!)&gt;0,(I182-J182)&gt;0),"YES","NO"))</f>
        <v>#REF!</v>
      </c>
      <c r="T182" s="12" t="str">
        <f t="shared" si="53"/>
        <v/>
      </c>
      <c r="U182" s="12" t="str">
        <f t="shared" si="54"/>
        <v>YES</v>
      </c>
      <c r="V182" s="14" t="e">
        <f>IF(U182="NO","",IF(AND((COUNTBLANK(B182:B182)=0),OR(COUNTBLANK(I182)=0,COUNTBLANK(#REF!)=0),OR(COUNTBLANK(D182:G182)&lt;&gt;4,COUNTBLANK(#REF!)=0)),"YES","NO"))</f>
        <v>#REF!</v>
      </c>
      <c r="W182" s="14" t="e">
        <f>IF(U182="NO","",IF(SUM(#REF!,D182:G182)&gt;0,"YES","NO"))</f>
        <v>#REF!</v>
      </c>
      <c r="X182" s="14" t="e">
        <f>IF(OR(V182="NO",W182="NO",T182="AHFC",#REF!="AHFC"),"FLAG","")</f>
        <v>#REF!</v>
      </c>
      <c r="Y182" s="15" t="e">
        <f t="shared" si="55"/>
        <v>#REF!</v>
      </c>
    </row>
    <row r="183" spans="1:25" ht="12.75" hidden="1" customHeight="1" x14ac:dyDescent="0.2">
      <c r="A183" s="16">
        <v>11</v>
      </c>
      <c r="B183" s="422"/>
      <c r="C183" s="422"/>
      <c r="D183" s="453"/>
      <c r="E183" s="453"/>
      <c r="F183" s="453"/>
      <c r="G183" s="453"/>
      <c r="H183" s="422"/>
      <c r="I183" s="454"/>
      <c r="J183" s="11" t="str">
        <f>IFERROR(VLOOKUP($Q183,FeeLookup!$J$5:$L$33,2,FALSE),"")</f>
        <v/>
      </c>
      <c r="K183" s="11" t="str">
        <f>IFERROR(VLOOKUP($Q183,FeeLookup!$J$5:$L$33,3,FALSE),"")</f>
        <v/>
      </c>
      <c r="L183" s="413"/>
      <c r="M183" s="414"/>
      <c r="N183" s="5"/>
      <c r="O183" s="12" t="e">
        <f>RIGHT(#REF!,LEN(#REF!)-20)</f>
        <v>#REF!</v>
      </c>
      <c r="P183" s="12" t="str">
        <f t="shared" si="51"/>
        <v/>
      </c>
      <c r="Q183" s="13" t="e">
        <f t="shared" si="52"/>
        <v>#REF!</v>
      </c>
      <c r="R183" s="13" t="e">
        <f>IF(#REF!="","",IF(#REF!="","0",#REF!))</f>
        <v>#REF!</v>
      </c>
      <c r="S183" s="12" t="e">
        <f>IF(OR(#REF!="",J183=""),"",IF(OR((R183-#REF!)&gt;0,(I183-J183)&gt;0),"YES","NO"))</f>
        <v>#REF!</v>
      </c>
      <c r="T183" s="12" t="str">
        <f t="shared" si="53"/>
        <v/>
      </c>
      <c r="U183" s="12" t="str">
        <f t="shared" si="54"/>
        <v>YES</v>
      </c>
      <c r="V183" s="14" t="e">
        <f>IF(U183="NO","",IF(AND((COUNTBLANK(B183:B183)=0),OR(COUNTBLANK(I183)=0,COUNTBLANK(#REF!)=0),OR(COUNTBLANK(D183:G183)&lt;&gt;4,COUNTBLANK(#REF!)=0)),"YES","NO"))</f>
        <v>#REF!</v>
      </c>
      <c r="W183" s="14" t="e">
        <f>IF(U183="NO","",IF(SUM(#REF!,D183:G183)&gt;0,"YES","NO"))</f>
        <v>#REF!</v>
      </c>
      <c r="X183" s="14" t="e">
        <f>IF(OR(V183="NO",W183="NO",T183="AHFC",#REF!="AHFC"),"FLAG","")</f>
        <v>#REF!</v>
      </c>
      <c r="Y183" s="15" t="e">
        <f t="shared" si="55"/>
        <v>#REF!</v>
      </c>
    </row>
    <row r="184" spans="1:25" ht="12.75" hidden="1" customHeight="1" x14ac:dyDescent="0.2">
      <c r="A184" s="16">
        <v>12</v>
      </c>
      <c r="B184" s="422"/>
      <c r="C184" s="422"/>
      <c r="D184" s="453"/>
      <c r="E184" s="453"/>
      <c r="F184" s="453"/>
      <c r="G184" s="453"/>
      <c r="H184" s="422"/>
      <c r="I184" s="454"/>
      <c r="J184" s="19" t="str">
        <f>IFERROR(VLOOKUP($Q184,FeeLookup!$J$5:$L$33,2,FALSE),"")</f>
        <v/>
      </c>
      <c r="K184" s="19" t="str">
        <f>IFERROR(VLOOKUP($Q184,FeeLookup!$J$5:$L$33,3,FALSE),"")</f>
        <v/>
      </c>
      <c r="L184" s="413"/>
      <c r="M184" s="414"/>
      <c r="N184" s="5"/>
      <c r="O184" s="12" t="e">
        <f>RIGHT(#REF!,LEN(#REF!)-20)</f>
        <v>#REF!</v>
      </c>
      <c r="P184" s="12" t="str">
        <f t="shared" si="51"/>
        <v/>
      </c>
      <c r="Q184" s="13" t="e">
        <f t="shared" si="52"/>
        <v>#REF!</v>
      </c>
      <c r="R184" s="13" t="e">
        <f>IF(#REF!="","",IF(#REF!="","0",#REF!))</f>
        <v>#REF!</v>
      </c>
      <c r="S184" s="12" t="e">
        <f>IF(OR(#REF!="",J184=""),"",IF(OR((R184-#REF!)&gt;0,(I184-J184)&gt;0),"YES","NO"))</f>
        <v>#REF!</v>
      </c>
      <c r="T184" s="12" t="str">
        <f t="shared" si="53"/>
        <v/>
      </c>
      <c r="U184" s="12" t="str">
        <f t="shared" si="54"/>
        <v>YES</v>
      </c>
      <c r="V184" s="14" t="e">
        <f>IF(U184="NO","",IF(AND((COUNTBLANK(B184:B184)=0),OR(COUNTBLANK(I184)=0,COUNTBLANK(#REF!)=0),OR(COUNTBLANK(D184:G184)&lt;&gt;4,COUNTBLANK(#REF!)=0)),"YES","NO"))</f>
        <v>#REF!</v>
      </c>
      <c r="W184" s="14" t="e">
        <f>IF(U184="NO","",IF(SUM(#REF!,D184:G184)&gt;0,"YES","NO"))</f>
        <v>#REF!</v>
      </c>
      <c r="X184" s="14" t="e">
        <f>IF(OR(V184="NO",W184="NO",T184="AHFC",#REF!="AHFC"),"FLAG","")</f>
        <v>#REF!</v>
      </c>
      <c r="Y184" s="15" t="e">
        <f t="shared" si="55"/>
        <v>#REF!</v>
      </c>
    </row>
    <row r="185" spans="1:25" ht="12.75" hidden="1" customHeight="1" x14ac:dyDescent="0.2">
      <c r="A185" s="8">
        <v>13</v>
      </c>
      <c r="B185" s="161"/>
      <c r="C185" s="161"/>
      <c r="D185" s="451"/>
      <c r="E185" s="451"/>
      <c r="F185" s="451"/>
      <c r="G185" s="451"/>
      <c r="H185" s="161"/>
      <c r="I185" s="452"/>
      <c r="J185" s="20" t="str">
        <f>IFERROR(VLOOKUP($Q185,FeeLookup!$J$5:$L$33,2,FALSE),"")</f>
        <v/>
      </c>
      <c r="K185" s="20" t="str">
        <f>IFERROR(VLOOKUP($Q185,FeeLookup!$J$5:$L$33,3,FALSE),"")</f>
        <v/>
      </c>
      <c r="L185" s="413"/>
      <c r="M185" s="414"/>
      <c r="N185" s="5"/>
      <c r="O185" s="12" t="e">
        <f>RIGHT(#REF!,LEN(#REF!)-20)</f>
        <v>#REF!</v>
      </c>
      <c r="P185" s="12" t="str">
        <f t="shared" si="51"/>
        <v/>
      </c>
      <c r="Q185" s="13" t="e">
        <f t="shared" si="52"/>
        <v>#REF!</v>
      </c>
      <c r="R185" s="13" t="e">
        <f>IF(#REF!="","",IF(#REF!="","0",#REF!))</f>
        <v>#REF!</v>
      </c>
      <c r="S185" s="12" t="e">
        <f>IF(OR(#REF!="",J185=""),"",IF(OR((R185-#REF!)&gt;0,(I185-J185)&gt;0),"YES","NO"))</f>
        <v>#REF!</v>
      </c>
      <c r="T185" s="12" t="str">
        <f t="shared" si="53"/>
        <v/>
      </c>
      <c r="U185" s="12" t="str">
        <f t="shared" si="54"/>
        <v>YES</v>
      </c>
      <c r="V185" s="14" t="e">
        <f>IF(U185="NO","",IF(AND((COUNTBLANK(B185:B185)=0),OR(COUNTBLANK(I185)=0,COUNTBLANK(#REF!)=0),OR(COUNTBLANK(D185:G185)&lt;&gt;4,COUNTBLANK(#REF!)=0)),"YES","NO"))</f>
        <v>#REF!</v>
      </c>
      <c r="W185" s="14" t="e">
        <f>IF(U185="NO","",IF(SUM(#REF!,D185:G185)&gt;0,"YES","NO"))</f>
        <v>#REF!</v>
      </c>
      <c r="X185" s="14" t="e">
        <f>IF(OR(V185="NO",W185="NO",T185="AHFC",#REF!="AHFC"),"FLAG","")</f>
        <v>#REF!</v>
      </c>
      <c r="Y185" s="15" t="e">
        <f t="shared" si="55"/>
        <v>#REF!</v>
      </c>
    </row>
    <row r="186" spans="1:25" ht="12.75" hidden="1" customHeight="1" x14ac:dyDescent="0.2">
      <c r="A186" s="16">
        <v>14</v>
      </c>
      <c r="B186" s="422"/>
      <c r="C186" s="422"/>
      <c r="D186" s="453"/>
      <c r="E186" s="453"/>
      <c r="F186" s="453"/>
      <c r="G186" s="453"/>
      <c r="H186" s="422"/>
      <c r="I186" s="454"/>
      <c r="J186" s="11" t="str">
        <f>IFERROR(VLOOKUP($Q186,FeeLookup!$J$5:$L$33,2,FALSE),"")</f>
        <v/>
      </c>
      <c r="K186" s="11" t="str">
        <f>IFERROR(VLOOKUP($Q186,FeeLookup!$J$5:$L$33,3,FALSE),"")</f>
        <v/>
      </c>
      <c r="L186" s="413"/>
      <c r="M186" s="414"/>
      <c r="N186" s="5"/>
      <c r="O186" s="12" t="e">
        <f>RIGHT(#REF!,LEN(#REF!)-20)</f>
        <v>#REF!</v>
      </c>
      <c r="P186" s="12" t="str">
        <f t="shared" si="51"/>
        <v/>
      </c>
      <c r="Q186" s="13" t="e">
        <f t="shared" si="52"/>
        <v>#REF!</v>
      </c>
      <c r="R186" s="13" t="e">
        <f>IF(#REF!="","",IF(#REF!="","0",#REF!))</f>
        <v>#REF!</v>
      </c>
      <c r="S186" s="12" t="e">
        <f>IF(OR(#REF!="",J186=""),"",IF(OR((R186-#REF!)&gt;0,(I186-J186)&gt;0),"YES","NO"))</f>
        <v>#REF!</v>
      </c>
      <c r="T186" s="12" t="str">
        <f t="shared" si="53"/>
        <v/>
      </c>
      <c r="U186" s="12" t="str">
        <f t="shared" si="54"/>
        <v>YES</v>
      </c>
      <c r="V186" s="14" t="e">
        <f>IF(U186="NO","",IF(AND((COUNTBLANK(B186:B186)=0),OR(COUNTBLANK(I186)=0,COUNTBLANK(#REF!)=0),OR(COUNTBLANK(D186:G186)&lt;&gt;4,COUNTBLANK(#REF!)=0)),"YES","NO"))</f>
        <v>#REF!</v>
      </c>
      <c r="W186" s="14" t="e">
        <f>IF(U186="NO","",IF(SUM(#REF!,D186:G186)&gt;0,"YES","NO"))</f>
        <v>#REF!</v>
      </c>
      <c r="X186" s="14" t="e">
        <f>IF(OR(V186="NO",W186="NO",T186="AHFC",#REF!="AHFC"),"FLAG","")</f>
        <v>#REF!</v>
      </c>
      <c r="Y186" s="15" t="e">
        <f t="shared" si="55"/>
        <v>#REF!</v>
      </c>
    </row>
    <row r="187" spans="1:25" ht="12.75" hidden="1" customHeight="1" x14ac:dyDescent="0.2">
      <c r="A187" s="16">
        <v>15</v>
      </c>
      <c r="B187" s="422"/>
      <c r="C187" s="422"/>
      <c r="D187" s="453"/>
      <c r="E187" s="453"/>
      <c r="F187" s="453"/>
      <c r="G187" s="453"/>
      <c r="H187" s="422"/>
      <c r="I187" s="454"/>
      <c r="J187" s="11" t="str">
        <f>IFERROR(VLOOKUP($Q187,FeeLookup!$J$5:$L$33,2,FALSE),"")</f>
        <v/>
      </c>
      <c r="K187" s="11" t="str">
        <f>IFERROR(VLOOKUP($Q187,FeeLookup!$J$5:$L$33,3,FALSE),"")</f>
        <v/>
      </c>
      <c r="L187" s="413"/>
      <c r="M187" s="414"/>
      <c r="N187" s="5"/>
      <c r="O187" s="12" t="e">
        <f>RIGHT(#REF!,LEN(#REF!)-20)</f>
        <v>#REF!</v>
      </c>
      <c r="P187" s="12" t="str">
        <f t="shared" si="51"/>
        <v/>
      </c>
      <c r="Q187" s="13" t="e">
        <f t="shared" si="52"/>
        <v>#REF!</v>
      </c>
      <c r="R187" s="13" t="e">
        <f>IF(#REF!="","",IF(#REF!="","0",#REF!))</f>
        <v>#REF!</v>
      </c>
      <c r="S187" s="12" t="e">
        <f>IF(OR(#REF!="",J187=""),"",IF(OR((R187-#REF!)&gt;0,(I187-J187)&gt;0),"YES","NO"))</f>
        <v>#REF!</v>
      </c>
      <c r="T187" s="12" t="str">
        <f t="shared" si="53"/>
        <v/>
      </c>
      <c r="U187" s="12" t="str">
        <f t="shared" si="54"/>
        <v>YES</v>
      </c>
      <c r="V187" s="14" t="e">
        <f>IF(U187="NO","",IF(AND((COUNTBLANK(B187:B187)=0),OR(COUNTBLANK(I187)=0,COUNTBLANK(#REF!)=0),OR(COUNTBLANK(D187:G187)&lt;&gt;4,COUNTBLANK(#REF!)=0)),"YES","NO"))</f>
        <v>#REF!</v>
      </c>
      <c r="W187" s="14" t="e">
        <f>IF(U187="NO","",IF(SUM(#REF!,D187:G187)&gt;0,"YES","NO"))</f>
        <v>#REF!</v>
      </c>
      <c r="X187" s="14" t="e">
        <f>IF(OR(V187="NO",W187="NO",T187="AHFC",#REF!="AHFC"),"FLAG","")</f>
        <v>#REF!</v>
      </c>
      <c r="Y187" s="15" t="e">
        <f t="shared" si="55"/>
        <v>#REF!</v>
      </c>
    </row>
    <row r="188" spans="1:25" ht="12.75" hidden="1" customHeight="1" x14ac:dyDescent="0.2">
      <c r="A188" s="16">
        <v>16</v>
      </c>
      <c r="B188" s="422"/>
      <c r="C188" s="422"/>
      <c r="D188" s="453"/>
      <c r="E188" s="453"/>
      <c r="F188" s="453"/>
      <c r="G188" s="453"/>
      <c r="H188" s="422"/>
      <c r="I188" s="454"/>
      <c r="J188" s="19" t="str">
        <f>IFERROR(VLOOKUP($Q188,FeeLookup!$J$5:$L$33,2,FALSE),"")</f>
        <v/>
      </c>
      <c r="K188" s="19" t="str">
        <f>IFERROR(VLOOKUP($Q188,FeeLookup!$J$5:$L$33,3,FALSE),"")</f>
        <v/>
      </c>
      <c r="L188" s="413"/>
      <c r="M188" s="414"/>
      <c r="N188" s="5"/>
      <c r="O188" s="12" t="e">
        <f>RIGHT(#REF!,LEN(#REF!)-20)</f>
        <v>#REF!</v>
      </c>
      <c r="P188" s="12" t="str">
        <f t="shared" si="51"/>
        <v/>
      </c>
      <c r="Q188" s="13" t="e">
        <f t="shared" si="52"/>
        <v>#REF!</v>
      </c>
      <c r="R188" s="13" t="e">
        <f>IF(#REF!="","",IF(#REF!="","0",#REF!))</f>
        <v>#REF!</v>
      </c>
      <c r="S188" s="12" t="e">
        <f>IF(OR(#REF!="",J188=""),"",IF(OR((R188-#REF!)&gt;0,(I188-J188)&gt;0),"YES","NO"))</f>
        <v>#REF!</v>
      </c>
      <c r="T188" s="12" t="str">
        <f t="shared" si="53"/>
        <v/>
      </c>
      <c r="U188" s="12" t="str">
        <f t="shared" si="54"/>
        <v>YES</v>
      </c>
      <c r="V188" s="14" t="e">
        <f>IF(U188="NO","",IF(AND((COUNTBLANK(B188:B188)=0),OR(COUNTBLANK(I188)=0,COUNTBLANK(#REF!)=0),OR(COUNTBLANK(D188:G188)&lt;&gt;4,COUNTBLANK(#REF!)=0)),"YES","NO"))</f>
        <v>#REF!</v>
      </c>
      <c r="W188" s="14" t="e">
        <f>IF(U188="NO","",IF(SUM(#REF!,D188:G188)&gt;0,"YES","NO"))</f>
        <v>#REF!</v>
      </c>
      <c r="X188" s="14" t="e">
        <f>IF(OR(V188="NO",W188="NO",T188="AHFC",#REF!="AHFC"),"FLAG","")</f>
        <v>#REF!</v>
      </c>
      <c r="Y188" s="15" t="e">
        <f t="shared" si="55"/>
        <v>#REF!</v>
      </c>
    </row>
    <row r="189" spans="1:25" ht="12.75" hidden="1" customHeight="1" x14ac:dyDescent="0.2">
      <c r="A189" s="8">
        <v>17</v>
      </c>
      <c r="B189" s="161"/>
      <c r="C189" s="161"/>
      <c r="D189" s="451"/>
      <c r="E189" s="451"/>
      <c r="F189" s="451"/>
      <c r="G189" s="451"/>
      <c r="H189" s="161"/>
      <c r="I189" s="452"/>
      <c r="J189" s="20" t="str">
        <f>IFERROR(VLOOKUP($Q189,FeeLookup!$J$5:$L$33,2,FALSE),"")</f>
        <v/>
      </c>
      <c r="K189" s="20" t="str">
        <f>IFERROR(VLOOKUP($Q189,FeeLookup!$J$5:$L$33,3,FALSE),"")</f>
        <v/>
      </c>
      <c r="L189" s="413"/>
      <c r="M189" s="414"/>
      <c r="N189" s="5"/>
      <c r="O189" s="12" t="e">
        <f>RIGHT(#REF!,LEN(#REF!)-20)</f>
        <v>#REF!</v>
      </c>
      <c r="P189" s="12" t="str">
        <f t="shared" si="51"/>
        <v/>
      </c>
      <c r="Q189" s="13" t="e">
        <f t="shared" si="52"/>
        <v>#REF!</v>
      </c>
      <c r="R189" s="13" t="e">
        <f>IF(#REF!="","",IF(#REF!="","0",#REF!))</f>
        <v>#REF!</v>
      </c>
      <c r="S189" s="12" t="e">
        <f>IF(OR(#REF!="",J189=""),"",IF(OR((R189-#REF!)&gt;0,(I189-J189)&gt;0),"YES","NO"))</f>
        <v>#REF!</v>
      </c>
      <c r="T189" s="12" t="str">
        <f t="shared" si="53"/>
        <v/>
      </c>
      <c r="U189" s="12" t="str">
        <f t="shared" si="54"/>
        <v>YES</v>
      </c>
      <c r="V189" s="14" t="e">
        <f>IF(U189="NO","",IF(AND((COUNTBLANK(B189:B189)=0),OR(COUNTBLANK(I189)=0,COUNTBLANK(#REF!)=0),OR(COUNTBLANK(D189:G189)&lt;&gt;4,COUNTBLANK(#REF!)=0)),"YES","NO"))</f>
        <v>#REF!</v>
      </c>
      <c r="W189" s="14" t="e">
        <f>IF(U189="NO","",IF(SUM(#REF!,D189:G189)&gt;0,"YES","NO"))</f>
        <v>#REF!</v>
      </c>
      <c r="X189" s="14" t="e">
        <f>IF(OR(V189="NO",W189="NO",T189="AHFC",#REF!="AHFC"),"FLAG","")</f>
        <v>#REF!</v>
      </c>
      <c r="Y189" s="15" t="e">
        <f t="shared" si="55"/>
        <v>#REF!</v>
      </c>
    </row>
    <row r="190" spans="1:25" ht="12.75" hidden="1" customHeight="1" x14ac:dyDescent="0.2">
      <c r="A190" s="16">
        <v>18</v>
      </c>
      <c r="B190" s="422"/>
      <c r="C190" s="422"/>
      <c r="D190" s="453"/>
      <c r="E190" s="453"/>
      <c r="F190" s="453"/>
      <c r="G190" s="453"/>
      <c r="H190" s="422"/>
      <c r="I190" s="454"/>
      <c r="J190" s="11" t="str">
        <f>IFERROR(VLOOKUP($Q190,FeeLookup!$J$5:$L$33,2,FALSE),"")</f>
        <v/>
      </c>
      <c r="K190" s="11" t="str">
        <f>IFERROR(VLOOKUP($Q190,FeeLookup!$J$5:$L$33,3,FALSE),"")</f>
        <v/>
      </c>
      <c r="L190" s="413"/>
      <c r="M190" s="414"/>
      <c r="N190" s="5"/>
      <c r="O190" s="12" t="e">
        <f>RIGHT(#REF!,LEN(#REF!)-20)</f>
        <v>#REF!</v>
      </c>
      <c r="P190" s="12" t="str">
        <f t="shared" si="51"/>
        <v/>
      </c>
      <c r="Q190" s="13" t="e">
        <f t="shared" si="52"/>
        <v>#REF!</v>
      </c>
      <c r="R190" s="13" t="e">
        <f>IF(#REF!="","",IF(#REF!="","0",#REF!))</f>
        <v>#REF!</v>
      </c>
      <c r="S190" s="12" t="e">
        <f>IF(OR(#REF!="",J190=""),"",IF(OR((R190-#REF!)&gt;0,(I190-J190)&gt;0),"YES","NO"))</f>
        <v>#REF!</v>
      </c>
      <c r="T190" s="12" t="str">
        <f t="shared" si="53"/>
        <v/>
      </c>
      <c r="U190" s="12" t="str">
        <f t="shared" si="54"/>
        <v>YES</v>
      </c>
      <c r="V190" s="14" t="e">
        <f>IF(U190="NO","",IF(AND((COUNTBLANK(B190:B190)=0),OR(COUNTBLANK(I190)=0,COUNTBLANK(#REF!)=0),OR(COUNTBLANK(D190:G190)&lt;&gt;4,COUNTBLANK(#REF!)=0)),"YES","NO"))</f>
        <v>#REF!</v>
      </c>
      <c r="W190" s="14" t="e">
        <f>IF(U190="NO","",IF(SUM(#REF!,D190:G190)&gt;0,"YES","NO"))</f>
        <v>#REF!</v>
      </c>
      <c r="X190" s="14" t="e">
        <f>IF(OR(V190="NO",W190="NO",T190="AHFC",#REF!="AHFC"),"FLAG","")</f>
        <v>#REF!</v>
      </c>
      <c r="Y190" s="15" t="e">
        <f t="shared" si="55"/>
        <v>#REF!</v>
      </c>
    </row>
    <row r="191" spans="1:25" ht="12.75" hidden="1" customHeight="1" x14ac:dyDescent="0.2">
      <c r="A191" s="16">
        <v>19</v>
      </c>
      <c r="B191" s="422"/>
      <c r="C191" s="422"/>
      <c r="D191" s="453"/>
      <c r="E191" s="453"/>
      <c r="F191" s="453"/>
      <c r="G191" s="453"/>
      <c r="H191" s="422"/>
      <c r="I191" s="454"/>
      <c r="J191" s="11" t="str">
        <f>IFERROR(VLOOKUP($Q191,FeeLookup!$J$5:$L$33,2,FALSE),"")</f>
        <v/>
      </c>
      <c r="K191" s="11" t="str">
        <f>IFERROR(VLOOKUP($Q191,FeeLookup!$J$5:$L$33,3,FALSE),"")</f>
        <v/>
      </c>
      <c r="L191" s="413"/>
      <c r="M191" s="414"/>
      <c r="N191" s="5"/>
      <c r="O191" s="12" t="e">
        <f>RIGHT(#REF!,LEN(#REF!)-20)</f>
        <v>#REF!</v>
      </c>
      <c r="P191" s="12" t="str">
        <f t="shared" si="51"/>
        <v/>
      </c>
      <c r="Q191" s="13" t="e">
        <f t="shared" si="52"/>
        <v>#REF!</v>
      </c>
      <c r="R191" s="13" t="e">
        <f>IF(#REF!="","",IF(#REF!="","0",#REF!))</f>
        <v>#REF!</v>
      </c>
      <c r="S191" s="12" t="e">
        <f>IF(OR(#REF!="",J191=""),"",IF(OR((R191-#REF!)&gt;0,(I191-J191)&gt;0),"YES","NO"))</f>
        <v>#REF!</v>
      </c>
      <c r="T191" s="12" t="str">
        <f t="shared" si="53"/>
        <v/>
      </c>
      <c r="U191" s="12" t="str">
        <f t="shared" si="54"/>
        <v>YES</v>
      </c>
      <c r="V191" s="14" t="e">
        <f>IF(U191="NO","",IF(AND((COUNTBLANK(B191:B191)=0),OR(COUNTBLANK(I191)=0,COUNTBLANK(#REF!)=0),OR(COUNTBLANK(D191:G191)&lt;&gt;4,COUNTBLANK(#REF!)=0)),"YES","NO"))</f>
        <v>#REF!</v>
      </c>
      <c r="W191" s="14" t="e">
        <f>IF(U191="NO","",IF(SUM(#REF!,D191:G191)&gt;0,"YES","NO"))</f>
        <v>#REF!</v>
      </c>
      <c r="X191" s="14" t="e">
        <f>IF(OR(V191="NO",W191="NO",T191="AHFC",#REF!="AHFC"),"FLAG","")</f>
        <v>#REF!</v>
      </c>
      <c r="Y191" s="15" t="e">
        <f t="shared" si="55"/>
        <v>#REF!</v>
      </c>
    </row>
    <row r="192" spans="1:25" ht="12.75" hidden="1" customHeight="1" x14ac:dyDescent="0.2">
      <c r="A192" s="16">
        <v>20</v>
      </c>
      <c r="B192" s="422"/>
      <c r="C192" s="422"/>
      <c r="D192" s="453"/>
      <c r="E192" s="453"/>
      <c r="F192" s="453"/>
      <c r="G192" s="453"/>
      <c r="H192" s="422"/>
      <c r="I192" s="454"/>
      <c r="J192" s="19" t="str">
        <f>IFERROR(VLOOKUP($Q192,FeeLookup!$J$5:$L$33,2,FALSE),"")</f>
        <v/>
      </c>
      <c r="K192" s="19" t="str">
        <f>IFERROR(VLOOKUP($Q192,FeeLookup!$J$5:$L$33,3,FALSE),"")</f>
        <v/>
      </c>
      <c r="L192" s="413"/>
      <c r="M192" s="414"/>
      <c r="N192" s="5"/>
      <c r="O192" s="12" t="e">
        <f>RIGHT(#REF!,LEN(#REF!)-20)</f>
        <v>#REF!</v>
      </c>
      <c r="P192" s="12" t="str">
        <f t="shared" si="51"/>
        <v/>
      </c>
      <c r="Q192" s="13" t="e">
        <f t="shared" si="52"/>
        <v>#REF!</v>
      </c>
      <c r="R192" s="13" t="e">
        <f>IF(#REF!="","",IF(#REF!="","0",#REF!))</f>
        <v>#REF!</v>
      </c>
      <c r="S192" s="12" t="e">
        <f>IF(OR(#REF!="",J192=""),"",IF(OR((R192-#REF!)&gt;0,(I192-J192)&gt;0),"YES","NO"))</f>
        <v>#REF!</v>
      </c>
      <c r="T192" s="12" t="str">
        <f t="shared" si="53"/>
        <v/>
      </c>
      <c r="U192" s="12" t="str">
        <f t="shared" si="54"/>
        <v>YES</v>
      </c>
      <c r="V192" s="14" t="e">
        <f>IF(U192="NO","",IF(AND((COUNTBLANK(B192:B192)=0),OR(COUNTBLANK(I192)=0,COUNTBLANK(#REF!)=0),OR(COUNTBLANK(D192:G192)&lt;&gt;4,COUNTBLANK(#REF!)=0)),"YES","NO"))</f>
        <v>#REF!</v>
      </c>
      <c r="W192" s="14" t="e">
        <f>IF(U192="NO","",IF(SUM(#REF!,D192:G192)&gt;0,"YES","NO"))</f>
        <v>#REF!</v>
      </c>
      <c r="X192" s="14" t="e">
        <f>IF(OR(V192="NO",W192="NO",T192="AHFC",#REF!="AHFC"),"FLAG","")</f>
        <v>#REF!</v>
      </c>
      <c r="Y192" s="15" t="e">
        <f t="shared" si="55"/>
        <v>#REF!</v>
      </c>
    </row>
    <row r="193" spans="1:25" ht="12.75" hidden="1" customHeight="1" x14ac:dyDescent="0.2">
      <c r="A193" s="8">
        <v>21</v>
      </c>
      <c r="B193" s="161"/>
      <c r="C193" s="161"/>
      <c r="D193" s="451"/>
      <c r="E193" s="451"/>
      <c r="F193" s="451"/>
      <c r="G193" s="451"/>
      <c r="H193" s="161"/>
      <c r="I193" s="452"/>
      <c r="J193" s="20" t="str">
        <f>IFERROR(VLOOKUP($Q193,FeeLookup!$J$5:$L$33,2,FALSE),"")</f>
        <v/>
      </c>
      <c r="K193" s="20" t="str">
        <f>IFERROR(VLOOKUP($Q193,FeeLookup!$J$5:$L$33,3,FALSE),"")</f>
        <v/>
      </c>
      <c r="L193" s="413"/>
      <c r="M193" s="414"/>
      <c r="N193" s="5"/>
      <c r="O193" s="12" t="e">
        <f>RIGHT(#REF!,LEN(#REF!)-20)</f>
        <v>#REF!</v>
      </c>
      <c r="P193" s="12" t="str">
        <f t="shared" si="51"/>
        <v/>
      </c>
      <c r="Q193" s="13" t="e">
        <f t="shared" si="52"/>
        <v>#REF!</v>
      </c>
      <c r="R193" s="13" t="e">
        <f>IF(#REF!="","",IF(#REF!="","0",#REF!))</f>
        <v>#REF!</v>
      </c>
      <c r="S193" s="12" t="e">
        <f>IF(OR(#REF!="",J193=""),"",IF(OR((R193-#REF!)&gt;0,(I193-J193)&gt;0),"YES","NO"))</f>
        <v>#REF!</v>
      </c>
      <c r="T193" s="12" t="str">
        <f t="shared" si="53"/>
        <v/>
      </c>
      <c r="U193" s="12" t="str">
        <f t="shared" si="54"/>
        <v>YES</v>
      </c>
      <c r="V193" s="14" t="e">
        <f>IF(U193="NO","",IF(AND((COUNTBLANK(B193:B193)=0),OR(COUNTBLANK(I193)=0,COUNTBLANK(#REF!)=0),OR(COUNTBLANK(D193:G193)&lt;&gt;4,COUNTBLANK(#REF!)=0)),"YES","NO"))</f>
        <v>#REF!</v>
      </c>
      <c r="W193" s="14" t="e">
        <f>IF(U193="NO","",IF(SUM(#REF!,D193:G193)&gt;0,"YES","NO"))</f>
        <v>#REF!</v>
      </c>
      <c r="X193" s="14" t="e">
        <f>IF(OR(V193="NO",W193="NO",T193="AHFC",#REF!="AHFC"),"FLAG","")</f>
        <v>#REF!</v>
      </c>
      <c r="Y193" s="15" t="e">
        <f t="shared" si="55"/>
        <v>#REF!</v>
      </c>
    </row>
    <row r="194" spans="1:25" ht="12.75" hidden="1" customHeight="1" x14ac:dyDescent="0.2">
      <c r="A194" s="16">
        <v>22</v>
      </c>
      <c r="B194" s="422"/>
      <c r="C194" s="422"/>
      <c r="D194" s="453"/>
      <c r="E194" s="453"/>
      <c r="F194" s="453"/>
      <c r="G194" s="453"/>
      <c r="H194" s="422"/>
      <c r="I194" s="454"/>
      <c r="J194" s="11" t="str">
        <f>IFERROR(VLOOKUP($Q194,FeeLookup!$J$5:$L$33,2,FALSE),"")</f>
        <v/>
      </c>
      <c r="K194" s="11" t="str">
        <f>IFERROR(VLOOKUP($Q194,FeeLookup!$J$5:$L$33,3,FALSE),"")</f>
        <v/>
      </c>
      <c r="L194" s="413"/>
      <c r="M194" s="414"/>
      <c r="N194" s="5"/>
      <c r="O194" s="12" t="e">
        <f>RIGHT(#REF!,LEN(#REF!)-20)</f>
        <v>#REF!</v>
      </c>
      <c r="P194" s="12" t="str">
        <f t="shared" si="51"/>
        <v/>
      </c>
      <c r="Q194" s="13" t="e">
        <f t="shared" si="52"/>
        <v>#REF!</v>
      </c>
      <c r="R194" s="13" t="e">
        <f>IF(#REF!="","",IF(#REF!="","0",#REF!))</f>
        <v>#REF!</v>
      </c>
      <c r="S194" s="12" t="e">
        <f>IF(OR(#REF!="",J194=""),"",IF(OR((R194-#REF!)&gt;0,(I194-J194)&gt;0),"YES","NO"))</f>
        <v>#REF!</v>
      </c>
      <c r="T194" s="12" t="str">
        <f t="shared" si="53"/>
        <v/>
      </c>
      <c r="U194" s="12" t="str">
        <f t="shared" si="54"/>
        <v>YES</v>
      </c>
      <c r="V194" s="14" t="e">
        <f>IF(U194="NO","",IF(AND((COUNTBLANK(B194:B194)=0),OR(COUNTBLANK(I194)=0,COUNTBLANK(#REF!)=0),OR(COUNTBLANK(D194:G194)&lt;&gt;4,COUNTBLANK(#REF!)=0)),"YES","NO"))</f>
        <v>#REF!</v>
      </c>
      <c r="W194" s="14" t="e">
        <f>IF(U194="NO","",IF(SUM(#REF!,D194:G194)&gt;0,"YES","NO"))</f>
        <v>#REF!</v>
      </c>
      <c r="X194" s="14" t="e">
        <f>IF(OR(V194="NO",W194="NO",T194="AHFC",#REF!="AHFC"),"FLAG","")</f>
        <v>#REF!</v>
      </c>
      <c r="Y194" s="15" t="e">
        <f t="shared" si="55"/>
        <v>#REF!</v>
      </c>
    </row>
    <row r="195" spans="1:25" ht="12.75" hidden="1" customHeight="1" x14ac:dyDescent="0.2">
      <c r="A195" s="16">
        <v>23</v>
      </c>
      <c r="B195" s="422"/>
      <c r="C195" s="422"/>
      <c r="D195" s="453"/>
      <c r="E195" s="453"/>
      <c r="F195" s="453"/>
      <c r="G195" s="453"/>
      <c r="H195" s="422"/>
      <c r="I195" s="454"/>
      <c r="J195" s="11" t="str">
        <f>IFERROR(VLOOKUP($Q195,FeeLookup!$J$5:$L$33,2,FALSE),"")</f>
        <v/>
      </c>
      <c r="K195" s="11" t="str">
        <f>IFERROR(VLOOKUP($Q195,FeeLookup!$J$5:$L$33,3,FALSE),"")</f>
        <v/>
      </c>
      <c r="L195" s="413"/>
      <c r="M195" s="414"/>
      <c r="N195" s="5"/>
      <c r="O195" s="12" t="e">
        <f>RIGHT(#REF!,LEN(#REF!)-20)</f>
        <v>#REF!</v>
      </c>
      <c r="P195" s="12" t="str">
        <f t="shared" si="51"/>
        <v/>
      </c>
      <c r="Q195" s="13" t="e">
        <f t="shared" si="52"/>
        <v>#REF!</v>
      </c>
      <c r="R195" s="13" t="e">
        <f>IF(#REF!="","",IF(#REF!="","0",#REF!))</f>
        <v>#REF!</v>
      </c>
      <c r="S195" s="12" t="e">
        <f>IF(OR(#REF!="",J195=""),"",IF(OR((R195-#REF!)&gt;0,(I195-J195)&gt;0),"YES","NO"))</f>
        <v>#REF!</v>
      </c>
      <c r="T195" s="12" t="str">
        <f t="shared" si="53"/>
        <v/>
      </c>
      <c r="U195" s="12" t="str">
        <f t="shared" si="54"/>
        <v>YES</v>
      </c>
      <c r="V195" s="14" t="e">
        <f>IF(U195="NO","",IF(AND((COUNTBLANK(B195:B195)=0),OR(COUNTBLANK(I195)=0,COUNTBLANK(#REF!)=0),OR(COUNTBLANK(D195:G195)&lt;&gt;4,COUNTBLANK(#REF!)=0)),"YES","NO"))</f>
        <v>#REF!</v>
      </c>
      <c r="W195" s="14" t="e">
        <f>IF(U195="NO","",IF(SUM(#REF!,D195:G195)&gt;0,"YES","NO"))</f>
        <v>#REF!</v>
      </c>
      <c r="X195" s="14" t="e">
        <f>IF(OR(V195="NO",W195="NO",T195="AHFC",#REF!="AHFC"),"FLAG","")</f>
        <v>#REF!</v>
      </c>
      <c r="Y195" s="15" t="e">
        <f t="shared" si="55"/>
        <v>#REF!</v>
      </c>
    </row>
    <row r="196" spans="1:25" ht="12.75" hidden="1" customHeight="1" x14ac:dyDescent="0.2">
      <c r="A196" s="16">
        <v>24</v>
      </c>
      <c r="B196" s="422"/>
      <c r="C196" s="422"/>
      <c r="D196" s="453"/>
      <c r="E196" s="453"/>
      <c r="F196" s="453"/>
      <c r="G196" s="453"/>
      <c r="H196" s="422"/>
      <c r="I196" s="454"/>
      <c r="J196" s="19" t="str">
        <f>IFERROR(VLOOKUP($Q196,FeeLookup!$J$5:$L$33,2,FALSE),"")</f>
        <v/>
      </c>
      <c r="K196" s="19" t="str">
        <f>IFERROR(VLOOKUP($Q196,FeeLookup!$J$5:$L$33,3,FALSE),"")</f>
        <v/>
      </c>
      <c r="L196" s="413"/>
      <c r="M196" s="414"/>
      <c r="N196" s="5"/>
      <c r="O196" s="12" t="e">
        <f>RIGHT(#REF!,LEN(#REF!)-20)</f>
        <v>#REF!</v>
      </c>
      <c r="P196" s="12" t="str">
        <f t="shared" si="51"/>
        <v/>
      </c>
      <c r="Q196" s="13" t="e">
        <f t="shared" si="52"/>
        <v>#REF!</v>
      </c>
      <c r="R196" s="13" t="e">
        <f>IF(#REF!="","",IF(#REF!="","0",#REF!))</f>
        <v>#REF!</v>
      </c>
      <c r="S196" s="12" t="e">
        <f>IF(OR(#REF!="",J196=""),"",IF(OR((R196-#REF!)&gt;0,(I196-J196)&gt;0),"YES","NO"))</f>
        <v>#REF!</v>
      </c>
      <c r="T196" s="12" t="str">
        <f t="shared" si="53"/>
        <v/>
      </c>
      <c r="U196" s="12" t="str">
        <f t="shared" si="54"/>
        <v>YES</v>
      </c>
      <c r="V196" s="14" t="e">
        <f>IF(U196="NO","",IF(AND((COUNTBLANK(B196:B196)=0),OR(COUNTBLANK(I196)=0,COUNTBLANK(#REF!)=0),OR(COUNTBLANK(D196:G196)&lt;&gt;4,COUNTBLANK(#REF!)=0)),"YES","NO"))</f>
        <v>#REF!</v>
      </c>
      <c r="W196" s="14" t="e">
        <f>IF(U196="NO","",IF(SUM(#REF!,D196:G196)&gt;0,"YES","NO"))</f>
        <v>#REF!</v>
      </c>
      <c r="X196" s="14" t="e">
        <f>IF(OR(V196="NO",W196="NO",T196="AHFC",#REF!="AHFC"),"FLAG","")</f>
        <v>#REF!</v>
      </c>
      <c r="Y196" s="15" t="e">
        <f t="shared" si="55"/>
        <v>#REF!</v>
      </c>
    </row>
    <row r="197" spans="1:25" ht="12.75" hidden="1" customHeight="1" x14ac:dyDescent="0.2">
      <c r="A197" s="8">
        <v>25</v>
      </c>
      <c r="B197" s="161"/>
      <c r="C197" s="161"/>
      <c r="D197" s="451"/>
      <c r="E197" s="451"/>
      <c r="F197" s="451"/>
      <c r="G197" s="451"/>
      <c r="H197" s="161"/>
      <c r="I197" s="452"/>
      <c r="J197" s="20" t="str">
        <f>IFERROR(VLOOKUP($Q197,FeeLookup!$J$5:$L$33,2,FALSE),"")</f>
        <v/>
      </c>
      <c r="K197" s="20" t="str">
        <f>IFERROR(VLOOKUP($Q197,FeeLookup!$J$5:$L$33,3,FALSE),"")</f>
        <v/>
      </c>
      <c r="L197" s="413"/>
      <c r="M197" s="414"/>
      <c r="N197" s="5"/>
      <c r="O197" s="12" t="e">
        <f>RIGHT(#REF!,LEN(#REF!)-20)</f>
        <v>#REF!</v>
      </c>
      <c r="P197" s="12" t="str">
        <f t="shared" si="51"/>
        <v/>
      </c>
      <c r="Q197" s="13" t="e">
        <f t="shared" si="52"/>
        <v>#REF!</v>
      </c>
      <c r="R197" s="13" t="e">
        <f>IF(#REF!="","",IF(#REF!="","0",#REF!))</f>
        <v>#REF!</v>
      </c>
      <c r="S197" s="12" t="e">
        <f>IF(OR(#REF!="",J197=""),"",IF(OR((R197-#REF!)&gt;0,(I197-J197)&gt;0),"YES","NO"))</f>
        <v>#REF!</v>
      </c>
      <c r="T197" s="12" t="str">
        <f t="shared" si="53"/>
        <v/>
      </c>
      <c r="U197" s="12" t="str">
        <f t="shared" si="54"/>
        <v>YES</v>
      </c>
      <c r="V197" s="14" t="e">
        <f>IF(U197="NO","",IF(AND((COUNTBLANK(B197:B197)=0),OR(COUNTBLANK(I197)=0,COUNTBLANK(#REF!)=0),OR(COUNTBLANK(D197:G197)&lt;&gt;4,COUNTBLANK(#REF!)=0)),"YES","NO"))</f>
        <v>#REF!</v>
      </c>
      <c r="W197" s="14" t="e">
        <f>IF(U197="NO","",IF(SUM(#REF!,D197:G197)&gt;0,"YES","NO"))</f>
        <v>#REF!</v>
      </c>
      <c r="X197" s="14" t="e">
        <f>IF(OR(V197="NO",W197="NO",T197="AHFC",#REF!="AHFC"),"FLAG","")</f>
        <v>#REF!</v>
      </c>
      <c r="Y197" s="15" t="e">
        <f t="shared" si="55"/>
        <v>#REF!</v>
      </c>
    </row>
    <row r="198" spans="1:25" ht="12.75" hidden="1" customHeight="1" x14ac:dyDescent="0.2">
      <c r="A198" s="16">
        <v>26</v>
      </c>
      <c r="B198" s="422"/>
      <c r="C198" s="422"/>
      <c r="D198" s="453"/>
      <c r="E198" s="453"/>
      <c r="F198" s="453"/>
      <c r="G198" s="453"/>
      <c r="H198" s="422"/>
      <c r="I198" s="454"/>
      <c r="J198" s="11" t="str">
        <f>IFERROR(VLOOKUP($Q198,FeeLookup!$J$5:$L$33,2,FALSE),"")</f>
        <v/>
      </c>
      <c r="K198" s="11" t="str">
        <f>IFERROR(VLOOKUP($Q198,FeeLookup!$J$5:$L$33,3,FALSE),"")</f>
        <v/>
      </c>
      <c r="L198" s="413"/>
      <c r="M198" s="414"/>
      <c r="N198" s="5"/>
      <c r="O198" s="12" t="e">
        <f>RIGHT(#REF!,LEN(#REF!)-20)</f>
        <v>#REF!</v>
      </c>
      <c r="P198" s="12" t="str">
        <f t="shared" si="51"/>
        <v/>
      </c>
      <c r="Q198" s="13" t="e">
        <f t="shared" si="52"/>
        <v>#REF!</v>
      </c>
      <c r="R198" s="13" t="e">
        <f>IF(#REF!="","",IF(#REF!="","0",#REF!))</f>
        <v>#REF!</v>
      </c>
      <c r="S198" s="12" t="e">
        <f>IF(OR(#REF!="",J198=""),"",IF(OR((R198-#REF!)&gt;0,(I198-J198)&gt;0),"YES","NO"))</f>
        <v>#REF!</v>
      </c>
      <c r="T198" s="12" t="str">
        <f t="shared" si="53"/>
        <v/>
      </c>
      <c r="U198" s="12" t="str">
        <f t="shared" si="54"/>
        <v>YES</v>
      </c>
      <c r="V198" s="14" t="e">
        <f>IF(U198="NO","",IF(AND((COUNTBLANK(B198:B198)=0),OR(COUNTBLANK(I198)=0,COUNTBLANK(#REF!)=0),OR(COUNTBLANK(D198:G198)&lt;&gt;4,COUNTBLANK(#REF!)=0)),"YES","NO"))</f>
        <v>#REF!</v>
      </c>
      <c r="W198" s="14" t="e">
        <f>IF(U198="NO","",IF(SUM(#REF!,D198:G198)&gt;0,"YES","NO"))</f>
        <v>#REF!</v>
      </c>
      <c r="X198" s="14" t="e">
        <f>IF(OR(V198="NO",W198="NO",T198="AHFC",#REF!="AHFC"),"FLAG","")</f>
        <v>#REF!</v>
      </c>
      <c r="Y198" s="15" t="e">
        <f t="shared" si="55"/>
        <v>#REF!</v>
      </c>
    </row>
    <row r="199" spans="1:25" ht="12.75" hidden="1" customHeight="1" x14ac:dyDescent="0.2">
      <c r="A199" s="16">
        <v>27</v>
      </c>
      <c r="B199" s="422"/>
      <c r="C199" s="422"/>
      <c r="D199" s="453"/>
      <c r="E199" s="453"/>
      <c r="F199" s="453"/>
      <c r="G199" s="453"/>
      <c r="H199" s="422"/>
      <c r="I199" s="454"/>
      <c r="J199" s="11" t="str">
        <f>IFERROR(VLOOKUP($Q199,FeeLookup!$J$5:$L$33,2,FALSE),"")</f>
        <v/>
      </c>
      <c r="K199" s="11" t="str">
        <f>IFERROR(VLOOKUP($Q199,FeeLookup!$J$5:$L$33,3,FALSE),"")</f>
        <v/>
      </c>
      <c r="L199" s="413"/>
      <c r="M199" s="414"/>
      <c r="N199" s="5"/>
      <c r="O199" s="12" t="e">
        <f>RIGHT(#REF!,LEN(#REF!)-20)</f>
        <v>#REF!</v>
      </c>
      <c r="P199" s="12" t="str">
        <f t="shared" si="51"/>
        <v/>
      </c>
      <c r="Q199" s="13" t="e">
        <f t="shared" si="52"/>
        <v>#REF!</v>
      </c>
      <c r="R199" s="13" t="e">
        <f>IF(#REF!="","",IF(#REF!="","0",#REF!))</f>
        <v>#REF!</v>
      </c>
      <c r="S199" s="12" t="e">
        <f>IF(OR(#REF!="",J199=""),"",IF(OR((R199-#REF!)&gt;0,(I199-J199)&gt;0),"YES","NO"))</f>
        <v>#REF!</v>
      </c>
      <c r="T199" s="12" t="str">
        <f t="shared" si="53"/>
        <v/>
      </c>
      <c r="U199" s="12" t="str">
        <f t="shared" si="54"/>
        <v>YES</v>
      </c>
      <c r="V199" s="14" t="e">
        <f>IF(U199="NO","",IF(AND((COUNTBLANK(B199:B199)=0),OR(COUNTBLANK(I199)=0,COUNTBLANK(#REF!)=0),OR(COUNTBLANK(D199:G199)&lt;&gt;4,COUNTBLANK(#REF!)=0)),"YES","NO"))</f>
        <v>#REF!</v>
      </c>
      <c r="W199" s="14" t="e">
        <f>IF(U199="NO","",IF(SUM(#REF!,D199:G199)&gt;0,"YES","NO"))</f>
        <v>#REF!</v>
      </c>
      <c r="X199" s="14" t="e">
        <f>IF(OR(V199="NO",W199="NO",T199="AHFC",#REF!="AHFC"),"FLAG","")</f>
        <v>#REF!</v>
      </c>
      <c r="Y199" s="15" t="e">
        <f t="shared" si="55"/>
        <v>#REF!</v>
      </c>
    </row>
    <row r="200" spans="1:25" ht="12.75" hidden="1" customHeight="1" x14ac:dyDescent="0.2">
      <c r="A200" s="16">
        <v>28</v>
      </c>
      <c r="B200" s="422"/>
      <c r="C200" s="422"/>
      <c r="D200" s="453"/>
      <c r="E200" s="453"/>
      <c r="F200" s="453"/>
      <c r="G200" s="453"/>
      <c r="H200" s="422"/>
      <c r="I200" s="454"/>
      <c r="J200" s="19" t="str">
        <f>IFERROR(VLOOKUP($Q200,FeeLookup!$J$5:$L$33,2,FALSE),"")</f>
        <v/>
      </c>
      <c r="K200" s="19" t="str">
        <f>IFERROR(VLOOKUP($Q200,FeeLookup!$J$5:$L$33,3,FALSE),"")</f>
        <v/>
      </c>
      <c r="L200" s="413"/>
      <c r="M200" s="414"/>
      <c r="N200" s="5"/>
      <c r="O200" s="12" t="e">
        <f>RIGHT(#REF!,LEN(#REF!)-20)</f>
        <v>#REF!</v>
      </c>
      <c r="P200" s="12" t="str">
        <f t="shared" si="51"/>
        <v/>
      </c>
      <c r="Q200" s="13" t="e">
        <f t="shared" si="52"/>
        <v>#REF!</v>
      </c>
      <c r="R200" s="13" t="e">
        <f>IF(#REF!="","",IF(#REF!="","0",#REF!))</f>
        <v>#REF!</v>
      </c>
      <c r="S200" s="12" t="e">
        <f>IF(OR(#REF!="",J200=""),"",IF(OR((R200-#REF!)&gt;0,(I200-J200)&gt;0),"YES","NO"))</f>
        <v>#REF!</v>
      </c>
      <c r="T200" s="12" t="str">
        <f t="shared" si="53"/>
        <v/>
      </c>
      <c r="U200" s="12" t="str">
        <f t="shared" si="54"/>
        <v>YES</v>
      </c>
      <c r="V200" s="14" t="e">
        <f>IF(U200="NO","",IF(AND((COUNTBLANK(B200:B200)=0),OR(COUNTBLANK(I200)=0,COUNTBLANK(#REF!)=0),OR(COUNTBLANK(D200:G200)&lt;&gt;4,COUNTBLANK(#REF!)=0)),"YES","NO"))</f>
        <v>#REF!</v>
      </c>
      <c r="W200" s="14" t="e">
        <f>IF(U200="NO","",IF(SUM(#REF!,D200:G200)&gt;0,"YES","NO"))</f>
        <v>#REF!</v>
      </c>
      <c r="X200" s="14" t="e">
        <f>IF(OR(V200="NO",W200="NO",T200="AHFC",#REF!="AHFC"),"FLAG","")</f>
        <v>#REF!</v>
      </c>
      <c r="Y200" s="15" t="e">
        <f t="shared" si="55"/>
        <v>#REF!</v>
      </c>
    </row>
    <row r="201" spans="1:25" ht="12.75" hidden="1" customHeight="1" x14ac:dyDescent="0.2">
      <c r="A201" s="8">
        <v>29</v>
      </c>
      <c r="B201" s="161"/>
      <c r="C201" s="161"/>
      <c r="D201" s="451"/>
      <c r="E201" s="451"/>
      <c r="F201" s="451"/>
      <c r="G201" s="451"/>
      <c r="H201" s="161"/>
      <c r="I201" s="452"/>
      <c r="J201" s="20" t="str">
        <f>IFERROR(VLOOKUP($Q201,FeeLookup!$J$5:$L$33,2,FALSE),"")</f>
        <v/>
      </c>
      <c r="K201" s="20" t="str">
        <f>IFERROR(VLOOKUP($Q201,FeeLookup!$J$5:$L$33,3,FALSE),"")</f>
        <v/>
      </c>
      <c r="L201" s="413"/>
      <c r="M201" s="414"/>
      <c r="N201" s="5"/>
      <c r="O201" s="12" t="e">
        <f>RIGHT(#REF!,LEN(#REF!)-20)</f>
        <v>#REF!</v>
      </c>
      <c r="P201" s="12" t="str">
        <f t="shared" si="51"/>
        <v/>
      </c>
      <c r="Q201" s="13" t="e">
        <f t="shared" si="52"/>
        <v>#REF!</v>
      </c>
      <c r="R201" s="13" t="e">
        <f>IF(#REF!="","",IF(#REF!="","0",#REF!))</f>
        <v>#REF!</v>
      </c>
      <c r="S201" s="12" t="e">
        <f>IF(OR(#REF!="",J201=""),"",IF(OR((R201-#REF!)&gt;0,(I201-J201)&gt;0),"YES","NO"))</f>
        <v>#REF!</v>
      </c>
      <c r="T201" s="12" t="str">
        <f t="shared" si="53"/>
        <v/>
      </c>
      <c r="U201" s="12" t="str">
        <f t="shared" si="54"/>
        <v>YES</v>
      </c>
      <c r="V201" s="14" t="e">
        <f>IF(U201="NO","",IF(AND((COUNTBLANK(B201:B201)=0),OR(COUNTBLANK(I201)=0,COUNTBLANK(#REF!)=0),OR(COUNTBLANK(D201:G201)&lt;&gt;4,COUNTBLANK(#REF!)=0)),"YES","NO"))</f>
        <v>#REF!</v>
      </c>
      <c r="W201" s="14" t="e">
        <f>IF(U201="NO","",IF(SUM(#REF!,D201:G201)&gt;0,"YES","NO"))</f>
        <v>#REF!</v>
      </c>
      <c r="X201" s="14" t="e">
        <f>IF(OR(V201="NO",W201="NO",T201="AHFC",#REF!="AHFC"),"FLAG","")</f>
        <v>#REF!</v>
      </c>
      <c r="Y201" s="15" t="e">
        <f t="shared" si="55"/>
        <v>#REF!</v>
      </c>
    </row>
    <row r="202" spans="1:25" ht="12.75" hidden="1" customHeight="1" x14ac:dyDescent="0.2">
      <c r="A202" s="16">
        <v>30</v>
      </c>
      <c r="B202" s="422"/>
      <c r="C202" s="422"/>
      <c r="D202" s="453"/>
      <c r="E202" s="453"/>
      <c r="F202" s="453"/>
      <c r="G202" s="453"/>
      <c r="H202" s="422"/>
      <c r="I202" s="454"/>
      <c r="J202" s="11" t="str">
        <f>IFERROR(VLOOKUP($Q202,FeeLookup!$J$5:$L$33,2,FALSE),"")</f>
        <v/>
      </c>
      <c r="K202" s="11" t="str">
        <f>IFERROR(VLOOKUP($Q202,FeeLookup!$J$5:$L$33,3,FALSE),"")</f>
        <v/>
      </c>
      <c r="L202" s="413"/>
      <c r="M202" s="414"/>
      <c r="N202" s="5"/>
      <c r="O202" s="12" t="e">
        <f>RIGHT(#REF!,LEN(#REF!)-20)</f>
        <v>#REF!</v>
      </c>
      <c r="P202" s="12" t="str">
        <f t="shared" si="51"/>
        <v/>
      </c>
      <c r="Q202" s="13" t="e">
        <f t="shared" si="52"/>
        <v>#REF!</v>
      </c>
      <c r="R202" s="13" t="e">
        <f>IF(#REF!="","",IF(#REF!="","0",#REF!))</f>
        <v>#REF!</v>
      </c>
      <c r="S202" s="12" t="e">
        <f>IF(OR(#REF!="",J202=""),"",IF(OR((R202-#REF!)&gt;0,(I202-J202)&gt;0),"YES","NO"))</f>
        <v>#REF!</v>
      </c>
      <c r="T202" s="12" t="str">
        <f t="shared" si="53"/>
        <v/>
      </c>
      <c r="U202" s="12" t="str">
        <f t="shared" si="54"/>
        <v>YES</v>
      </c>
      <c r="V202" s="14" t="e">
        <f>IF(U202="NO","",IF(AND((COUNTBLANK(B202:B202)=0),OR(COUNTBLANK(I202)=0,COUNTBLANK(#REF!)=0),OR(COUNTBLANK(D202:G202)&lt;&gt;4,COUNTBLANK(#REF!)=0)),"YES","NO"))</f>
        <v>#REF!</v>
      </c>
      <c r="W202" s="14" t="e">
        <f>IF(U202="NO","",IF(SUM(#REF!,D202:G202)&gt;0,"YES","NO"))</f>
        <v>#REF!</v>
      </c>
      <c r="X202" s="14" t="e">
        <f>IF(OR(V202="NO",W202="NO",T202="AHFC",#REF!="AHFC"),"FLAG","")</f>
        <v>#REF!</v>
      </c>
      <c r="Y202" s="15" t="e">
        <f t="shared" si="55"/>
        <v>#REF!</v>
      </c>
    </row>
    <row r="203" spans="1:25" ht="12.75" hidden="1" customHeight="1" x14ac:dyDescent="0.2">
      <c r="A203" s="16">
        <v>31</v>
      </c>
      <c r="B203" s="422"/>
      <c r="C203" s="422"/>
      <c r="D203" s="453"/>
      <c r="E203" s="453"/>
      <c r="F203" s="453"/>
      <c r="G203" s="453"/>
      <c r="H203" s="422"/>
      <c r="I203" s="454"/>
      <c r="J203" s="11" t="str">
        <f>IFERROR(VLOOKUP($Q203,FeeLookup!$J$5:$L$33,2,FALSE),"")</f>
        <v/>
      </c>
      <c r="K203" s="11" t="str">
        <f>IFERROR(VLOOKUP($Q203,FeeLookup!$J$5:$L$33,3,FALSE),"")</f>
        <v/>
      </c>
      <c r="L203" s="413"/>
      <c r="M203" s="414"/>
      <c r="N203" s="5"/>
      <c r="O203" s="12" t="e">
        <f>RIGHT(#REF!,LEN(#REF!)-20)</f>
        <v>#REF!</v>
      </c>
      <c r="P203" s="12" t="str">
        <f t="shared" si="51"/>
        <v/>
      </c>
      <c r="Q203" s="13" t="e">
        <f t="shared" si="52"/>
        <v>#REF!</v>
      </c>
      <c r="R203" s="13" t="e">
        <f>IF(#REF!="","",IF(#REF!="","0",#REF!))</f>
        <v>#REF!</v>
      </c>
      <c r="S203" s="12" t="e">
        <f>IF(OR(#REF!="",J203=""),"",IF(OR((R203-#REF!)&gt;0,(I203-J203)&gt;0),"YES","NO"))</f>
        <v>#REF!</v>
      </c>
      <c r="T203" s="12" t="str">
        <f t="shared" si="53"/>
        <v/>
      </c>
      <c r="U203" s="12" t="str">
        <f t="shared" si="54"/>
        <v>YES</v>
      </c>
      <c r="V203" s="14" t="e">
        <f>IF(U203="NO","",IF(AND((COUNTBLANK(B203:B203)=0),OR(COUNTBLANK(I203)=0,COUNTBLANK(#REF!)=0),OR(COUNTBLANK(D203:G203)&lt;&gt;4,COUNTBLANK(#REF!)=0)),"YES","NO"))</f>
        <v>#REF!</v>
      </c>
      <c r="W203" s="14" t="e">
        <f>IF(U203="NO","",IF(SUM(#REF!,D203:G203)&gt;0,"YES","NO"))</f>
        <v>#REF!</v>
      </c>
      <c r="X203" s="14" t="e">
        <f>IF(OR(V203="NO",W203="NO",T203="AHFC",#REF!="AHFC"),"FLAG","")</f>
        <v>#REF!</v>
      </c>
      <c r="Y203" s="15" t="e">
        <f t="shared" si="55"/>
        <v>#REF!</v>
      </c>
    </row>
    <row r="204" spans="1:25" ht="12.75" hidden="1" customHeight="1" x14ac:dyDescent="0.2">
      <c r="A204" s="16">
        <v>32</v>
      </c>
      <c r="B204" s="422"/>
      <c r="C204" s="422"/>
      <c r="D204" s="453"/>
      <c r="E204" s="453"/>
      <c r="F204" s="453"/>
      <c r="G204" s="453"/>
      <c r="H204" s="422"/>
      <c r="I204" s="454"/>
      <c r="J204" s="19" t="str">
        <f>IFERROR(VLOOKUP($Q204,FeeLookup!$J$5:$L$33,2,FALSE),"")</f>
        <v/>
      </c>
      <c r="K204" s="19" t="str">
        <f>IFERROR(VLOOKUP($Q204,FeeLookup!$J$5:$L$33,3,FALSE),"")</f>
        <v/>
      </c>
      <c r="L204" s="413"/>
      <c r="M204" s="414"/>
      <c r="N204" s="5"/>
      <c r="O204" s="12" t="e">
        <f>RIGHT(#REF!,LEN(#REF!)-20)</f>
        <v>#REF!</v>
      </c>
      <c r="P204" s="12" t="str">
        <f t="shared" si="51"/>
        <v/>
      </c>
      <c r="Q204" s="13" t="e">
        <f t="shared" si="52"/>
        <v>#REF!</v>
      </c>
      <c r="R204" s="13" t="e">
        <f>IF(#REF!="","",IF(#REF!="","0",#REF!))</f>
        <v>#REF!</v>
      </c>
      <c r="S204" s="12" t="e">
        <f>IF(OR(#REF!="",J204=""),"",IF(OR((R204-#REF!)&gt;0,(I204-J204)&gt;0),"YES","NO"))</f>
        <v>#REF!</v>
      </c>
      <c r="T204" s="12" t="str">
        <f t="shared" si="53"/>
        <v/>
      </c>
      <c r="U204" s="12" t="str">
        <f t="shared" si="54"/>
        <v>YES</v>
      </c>
      <c r="V204" s="14" t="e">
        <f>IF(U204="NO","",IF(AND((COUNTBLANK(B204:B204)=0),OR(COUNTBLANK(I204)=0,COUNTBLANK(#REF!)=0),OR(COUNTBLANK(D204:G204)&lt;&gt;4,COUNTBLANK(#REF!)=0)),"YES","NO"))</f>
        <v>#REF!</v>
      </c>
      <c r="W204" s="14" t="e">
        <f>IF(U204="NO","",IF(SUM(#REF!,D204:G204)&gt;0,"YES","NO"))</f>
        <v>#REF!</v>
      </c>
      <c r="X204" s="14" t="e">
        <f>IF(OR(V204="NO",W204="NO",T204="AHFC",#REF!="AHFC"),"FLAG","")</f>
        <v>#REF!</v>
      </c>
      <c r="Y204" s="15" t="e">
        <f t="shared" si="55"/>
        <v>#REF!</v>
      </c>
    </row>
    <row r="205" spans="1:25" ht="12.75" hidden="1" customHeight="1" x14ac:dyDescent="0.2">
      <c r="A205" s="8">
        <v>33</v>
      </c>
      <c r="B205" s="161"/>
      <c r="C205" s="161"/>
      <c r="D205" s="451"/>
      <c r="E205" s="451"/>
      <c r="F205" s="451"/>
      <c r="G205" s="451"/>
      <c r="H205" s="161"/>
      <c r="I205" s="452"/>
      <c r="J205" s="20" t="str">
        <f>IFERROR(VLOOKUP($Q205,FeeLookup!$J$5:$L$33,2,FALSE),"")</f>
        <v/>
      </c>
      <c r="K205" s="20" t="str">
        <f>IFERROR(VLOOKUP($Q205,FeeLookup!$J$5:$L$33,3,FALSE),"")</f>
        <v/>
      </c>
      <c r="L205" s="413"/>
      <c r="M205" s="414"/>
      <c r="N205" s="5"/>
      <c r="O205" s="12" t="e">
        <f>RIGHT(#REF!,LEN(#REF!)-20)</f>
        <v>#REF!</v>
      </c>
      <c r="P205" s="12" t="str">
        <f t="shared" ref="P205:P236" si="56">IF(B205="","",IF(B205="Erasmus and overseas study years","LOWER",IF(B205="Sandwich course","SAND","FULL")))</f>
        <v/>
      </c>
      <c r="Q205" s="13" t="e">
        <f t="shared" si="52"/>
        <v>#REF!</v>
      </c>
      <c r="R205" s="13" t="e">
        <f>IF(#REF!="","",IF(#REF!="","0",#REF!))</f>
        <v>#REF!</v>
      </c>
      <c r="S205" s="12" t="e">
        <f>IF(OR(#REF!="",J205=""),"",IF(OR((R205-#REF!)&gt;0,(I205-J205)&gt;0),"YES","NO"))</f>
        <v>#REF!</v>
      </c>
      <c r="T205" s="12" t="str">
        <f t="shared" si="53"/>
        <v/>
      </c>
      <c r="U205" s="12" t="str">
        <f t="shared" ref="U205:U236" si="57">IF(COUNTBLANK(B205:I205)=12,"NO","YES")</f>
        <v>YES</v>
      </c>
      <c r="V205" s="14" t="e">
        <f>IF(U205="NO","",IF(AND((COUNTBLANK(B205:B205)=0),OR(COUNTBLANK(I205)=0,COUNTBLANK(#REF!)=0),OR(COUNTBLANK(D205:G205)&lt;&gt;4,COUNTBLANK(#REF!)=0)),"YES","NO"))</f>
        <v>#REF!</v>
      </c>
      <c r="W205" s="14" t="e">
        <f>IF(U205="NO","",IF(SUM(#REF!,D205:G205)&gt;0,"YES","NO"))</f>
        <v>#REF!</v>
      </c>
      <c r="X205" s="14" t="e">
        <f>IF(OR(V205="NO",W205="NO",T205="AHFC",#REF!="AHFC"),"FLAG","")</f>
        <v>#REF!</v>
      </c>
      <c r="Y205" s="15" t="e">
        <f t="shared" si="55"/>
        <v>#REF!</v>
      </c>
    </row>
    <row r="206" spans="1:25" ht="12.75" hidden="1" customHeight="1" x14ac:dyDescent="0.2">
      <c r="A206" s="16">
        <v>34</v>
      </c>
      <c r="B206" s="422"/>
      <c r="C206" s="422"/>
      <c r="D206" s="453"/>
      <c r="E206" s="453"/>
      <c r="F206" s="453"/>
      <c r="G206" s="453"/>
      <c r="H206" s="422"/>
      <c r="I206" s="454"/>
      <c r="J206" s="11" t="str">
        <f>IFERROR(VLOOKUP($Q206,FeeLookup!$J$5:$L$33,2,FALSE),"")</f>
        <v/>
      </c>
      <c r="K206" s="11" t="str">
        <f>IFERROR(VLOOKUP($Q206,FeeLookup!$J$5:$L$33,3,FALSE),"")</f>
        <v/>
      </c>
      <c r="L206" s="413"/>
      <c r="M206" s="414"/>
      <c r="N206" s="5"/>
      <c r="O206" s="12" t="e">
        <f>RIGHT(#REF!,LEN(#REF!)-20)</f>
        <v>#REF!</v>
      </c>
      <c r="P206" s="12" t="str">
        <f t="shared" si="56"/>
        <v/>
      </c>
      <c r="Q206" s="13" t="e">
        <f t="shared" si="52"/>
        <v>#REF!</v>
      </c>
      <c r="R206" s="13" t="e">
        <f>IF(#REF!="","",IF(#REF!="","0",#REF!))</f>
        <v>#REF!</v>
      </c>
      <c r="S206" s="12" t="e">
        <f>IF(OR(#REF!="",J206=""),"",IF(OR((R206-#REF!)&gt;0,(I206-J206)&gt;0),"YES","NO"))</f>
        <v>#REF!</v>
      </c>
      <c r="T206" s="12" t="str">
        <f t="shared" si="53"/>
        <v/>
      </c>
      <c r="U206" s="12" t="str">
        <f t="shared" si="57"/>
        <v>YES</v>
      </c>
      <c r="V206" s="14" t="e">
        <f>IF(U206="NO","",IF(AND((COUNTBLANK(B206:B206)=0),OR(COUNTBLANK(I206)=0,COUNTBLANK(#REF!)=0),OR(COUNTBLANK(D206:G206)&lt;&gt;4,COUNTBLANK(#REF!)=0)),"YES","NO"))</f>
        <v>#REF!</v>
      </c>
      <c r="W206" s="14" t="e">
        <f>IF(U206="NO","",IF(SUM(#REF!,D206:G206)&gt;0,"YES","NO"))</f>
        <v>#REF!</v>
      </c>
      <c r="X206" s="14" t="e">
        <f>IF(OR(V206="NO",W206="NO",T206="AHFC",#REF!="AHFC"),"FLAG","")</f>
        <v>#REF!</v>
      </c>
      <c r="Y206" s="15" t="e">
        <f t="shared" si="55"/>
        <v>#REF!</v>
      </c>
    </row>
    <row r="207" spans="1:25" ht="12.75" hidden="1" customHeight="1" x14ac:dyDescent="0.2">
      <c r="A207" s="16">
        <v>35</v>
      </c>
      <c r="B207" s="422"/>
      <c r="C207" s="422"/>
      <c r="D207" s="453"/>
      <c r="E207" s="453"/>
      <c r="F207" s="453"/>
      <c r="G207" s="453"/>
      <c r="H207" s="422"/>
      <c r="I207" s="454"/>
      <c r="J207" s="11" t="str">
        <f>IFERROR(VLOOKUP($Q207,FeeLookup!$J$5:$L$33,2,FALSE),"")</f>
        <v/>
      </c>
      <c r="K207" s="11" t="str">
        <f>IFERROR(VLOOKUP($Q207,FeeLookup!$J$5:$L$33,3,FALSE),"")</f>
        <v/>
      </c>
      <c r="L207" s="413"/>
      <c r="M207" s="414"/>
      <c r="N207" s="5"/>
      <c r="O207" s="12" t="e">
        <f>RIGHT(#REF!,LEN(#REF!)-20)</f>
        <v>#REF!</v>
      </c>
      <c r="P207" s="12" t="str">
        <f t="shared" si="56"/>
        <v/>
      </c>
      <c r="Q207" s="13" t="e">
        <f t="shared" si="52"/>
        <v>#REF!</v>
      </c>
      <c r="R207" s="13" t="e">
        <f>IF(#REF!="","",IF(#REF!="","0",#REF!))</f>
        <v>#REF!</v>
      </c>
      <c r="S207" s="12" t="e">
        <f>IF(OR(#REF!="",J207=""),"",IF(OR((R207-#REF!)&gt;0,(I207-J207)&gt;0),"YES","NO"))</f>
        <v>#REF!</v>
      </c>
      <c r="T207" s="12" t="str">
        <f t="shared" si="53"/>
        <v/>
      </c>
      <c r="U207" s="12" t="str">
        <f t="shared" si="57"/>
        <v>YES</v>
      </c>
      <c r="V207" s="14" t="e">
        <f>IF(U207="NO","",IF(AND((COUNTBLANK(B207:B207)=0),OR(COUNTBLANK(I207)=0,COUNTBLANK(#REF!)=0),OR(COUNTBLANK(D207:G207)&lt;&gt;4,COUNTBLANK(#REF!)=0)),"YES","NO"))</f>
        <v>#REF!</v>
      </c>
      <c r="W207" s="14" t="e">
        <f>IF(U207="NO","",IF(SUM(#REF!,D207:G207)&gt;0,"YES","NO"))</f>
        <v>#REF!</v>
      </c>
      <c r="X207" s="14" t="e">
        <f>IF(OR(V207="NO",W207="NO",T207="AHFC",#REF!="AHFC"),"FLAG","")</f>
        <v>#REF!</v>
      </c>
      <c r="Y207" s="15" t="e">
        <f t="shared" si="55"/>
        <v>#REF!</v>
      </c>
    </row>
    <row r="208" spans="1:25" ht="12.75" hidden="1" customHeight="1" x14ac:dyDescent="0.2">
      <c r="A208" s="16">
        <v>36</v>
      </c>
      <c r="B208" s="422"/>
      <c r="C208" s="422"/>
      <c r="D208" s="453"/>
      <c r="E208" s="453"/>
      <c r="F208" s="453"/>
      <c r="G208" s="453"/>
      <c r="H208" s="422"/>
      <c r="I208" s="454"/>
      <c r="J208" s="19" t="str">
        <f>IFERROR(VLOOKUP($Q208,FeeLookup!$J$5:$L$33,2,FALSE),"")</f>
        <v/>
      </c>
      <c r="K208" s="19" t="str">
        <f>IFERROR(VLOOKUP($Q208,FeeLookup!$J$5:$L$33,3,FALSE),"")</f>
        <v/>
      </c>
      <c r="L208" s="413"/>
      <c r="M208" s="414"/>
      <c r="N208" s="5"/>
      <c r="O208" s="12" t="e">
        <f>RIGHT(#REF!,LEN(#REF!)-20)</f>
        <v>#REF!</v>
      </c>
      <c r="P208" s="12" t="str">
        <f t="shared" si="56"/>
        <v/>
      </c>
      <c r="Q208" s="13" t="e">
        <f t="shared" si="52"/>
        <v>#REF!</v>
      </c>
      <c r="R208" s="13" t="e">
        <f>IF(#REF!="","",IF(#REF!="","0",#REF!))</f>
        <v>#REF!</v>
      </c>
      <c r="S208" s="12" t="e">
        <f>IF(OR(#REF!="",J208=""),"",IF(OR((R208-#REF!)&gt;0,(I208-J208)&gt;0),"YES","NO"))</f>
        <v>#REF!</v>
      </c>
      <c r="T208" s="12" t="str">
        <f t="shared" si="53"/>
        <v/>
      </c>
      <c r="U208" s="12" t="str">
        <f t="shared" si="57"/>
        <v>YES</v>
      </c>
      <c r="V208" s="14" t="e">
        <f>IF(U208="NO","",IF(AND((COUNTBLANK(B208:B208)=0),OR(COUNTBLANK(I208)=0,COUNTBLANK(#REF!)=0),OR(COUNTBLANK(D208:G208)&lt;&gt;4,COUNTBLANK(#REF!)=0)),"YES","NO"))</f>
        <v>#REF!</v>
      </c>
      <c r="W208" s="14" t="e">
        <f>IF(U208="NO","",IF(SUM(#REF!,D208:G208)&gt;0,"YES","NO"))</f>
        <v>#REF!</v>
      </c>
      <c r="X208" s="14" t="e">
        <f>IF(OR(V208="NO",W208="NO",T208="AHFC",#REF!="AHFC"),"FLAG","")</f>
        <v>#REF!</v>
      </c>
      <c r="Y208" s="15" t="e">
        <f t="shared" si="55"/>
        <v>#REF!</v>
      </c>
    </row>
    <row r="209" spans="1:25" ht="12.75" hidden="1" customHeight="1" x14ac:dyDescent="0.2">
      <c r="A209" s="8">
        <v>37</v>
      </c>
      <c r="B209" s="161"/>
      <c r="C209" s="161"/>
      <c r="D209" s="451"/>
      <c r="E209" s="451"/>
      <c r="F209" s="451"/>
      <c r="G209" s="451"/>
      <c r="H209" s="161"/>
      <c r="I209" s="452"/>
      <c r="J209" s="20" t="str">
        <f>IFERROR(VLOOKUP($Q209,FeeLookup!$J$5:$L$33,2,FALSE),"")</f>
        <v/>
      </c>
      <c r="K209" s="20" t="str">
        <f>IFERROR(VLOOKUP($Q209,FeeLookup!$J$5:$L$33,3,FALSE),"")</f>
        <v/>
      </c>
      <c r="L209" s="413"/>
      <c r="M209" s="414"/>
      <c r="N209" s="5"/>
      <c r="O209" s="12" t="e">
        <f>RIGHT(#REF!,LEN(#REF!)-20)</f>
        <v>#REF!</v>
      </c>
      <c r="P209" s="12" t="str">
        <f t="shared" si="56"/>
        <v/>
      </c>
      <c r="Q209" s="13" t="e">
        <f t="shared" si="52"/>
        <v>#REF!</v>
      </c>
      <c r="R209" s="13" t="e">
        <f>IF(#REF!="","",IF(#REF!="","0",#REF!))</f>
        <v>#REF!</v>
      </c>
      <c r="S209" s="12" t="e">
        <f>IF(OR(#REF!="",J209=""),"",IF(OR((R209-#REF!)&gt;0,(I209-J209)&gt;0),"YES","NO"))</f>
        <v>#REF!</v>
      </c>
      <c r="T209" s="12" t="str">
        <f t="shared" si="53"/>
        <v/>
      </c>
      <c r="U209" s="12" t="str">
        <f t="shared" si="57"/>
        <v>YES</v>
      </c>
      <c r="V209" s="14" t="e">
        <f>IF(U209="NO","",IF(AND((COUNTBLANK(B209:B209)=0),OR(COUNTBLANK(I209)=0,COUNTBLANK(#REF!)=0),OR(COUNTBLANK(D209:G209)&lt;&gt;4,COUNTBLANK(#REF!)=0)),"YES","NO"))</f>
        <v>#REF!</v>
      </c>
      <c r="W209" s="14" t="e">
        <f>IF(U209="NO","",IF(SUM(#REF!,D209:G209)&gt;0,"YES","NO"))</f>
        <v>#REF!</v>
      </c>
      <c r="X209" s="14" t="e">
        <f>IF(OR(V209="NO",W209="NO",T209="AHFC",#REF!="AHFC"),"FLAG","")</f>
        <v>#REF!</v>
      </c>
      <c r="Y209" s="15" t="e">
        <f t="shared" si="55"/>
        <v>#REF!</v>
      </c>
    </row>
    <row r="210" spans="1:25" ht="12.75" hidden="1" customHeight="1" x14ac:dyDescent="0.2">
      <c r="A210" s="16">
        <v>38</v>
      </c>
      <c r="B210" s="422"/>
      <c r="C210" s="422"/>
      <c r="D210" s="453"/>
      <c r="E210" s="453"/>
      <c r="F210" s="453"/>
      <c r="G210" s="453"/>
      <c r="H210" s="422"/>
      <c r="I210" s="454"/>
      <c r="J210" s="11" t="str">
        <f>IFERROR(VLOOKUP($Q210,FeeLookup!$J$5:$L$33,2,FALSE),"")</f>
        <v/>
      </c>
      <c r="K210" s="11" t="str">
        <f>IFERROR(VLOOKUP($Q210,FeeLookup!$J$5:$L$33,3,FALSE),"")</f>
        <v/>
      </c>
      <c r="L210" s="413"/>
      <c r="M210" s="414"/>
      <c r="N210" s="5"/>
      <c r="O210" s="12" t="e">
        <f>RIGHT(#REF!,LEN(#REF!)-20)</f>
        <v>#REF!</v>
      </c>
      <c r="P210" s="12" t="str">
        <f t="shared" si="56"/>
        <v/>
      </c>
      <c r="Q210" s="13" t="e">
        <f t="shared" si="52"/>
        <v>#REF!</v>
      </c>
      <c r="R210" s="13" t="e">
        <f>IF(#REF!="","",IF(#REF!="","0",#REF!))</f>
        <v>#REF!</v>
      </c>
      <c r="S210" s="12" t="e">
        <f>IF(OR(#REF!="",J210=""),"",IF(OR((R210-#REF!)&gt;0,(I210-J210)&gt;0),"YES","NO"))</f>
        <v>#REF!</v>
      </c>
      <c r="T210" s="12" t="str">
        <f t="shared" si="53"/>
        <v/>
      </c>
      <c r="U210" s="12" t="str">
        <f t="shared" si="57"/>
        <v>YES</v>
      </c>
      <c r="V210" s="14" t="e">
        <f>IF(U210="NO","",IF(AND((COUNTBLANK(B210:B210)=0),OR(COUNTBLANK(I210)=0,COUNTBLANK(#REF!)=0),OR(COUNTBLANK(D210:G210)&lt;&gt;4,COUNTBLANK(#REF!)=0)),"YES","NO"))</f>
        <v>#REF!</v>
      </c>
      <c r="W210" s="14" t="e">
        <f>IF(U210="NO","",IF(SUM(#REF!,D210:G210)&gt;0,"YES","NO"))</f>
        <v>#REF!</v>
      </c>
      <c r="X210" s="14" t="e">
        <f>IF(OR(V210="NO",W210="NO",T210="AHFC",#REF!="AHFC"),"FLAG","")</f>
        <v>#REF!</v>
      </c>
      <c r="Y210" s="15" t="e">
        <f t="shared" si="55"/>
        <v>#REF!</v>
      </c>
    </row>
    <row r="211" spans="1:25" ht="12.75" hidden="1" customHeight="1" x14ac:dyDescent="0.2">
      <c r="A211" s="16">
        <v>39</v>
      </c>
      <c r="B211" s="422"/>
      <c r="C211" s="422"/>
      <c r="D211" s="453"/>
      <c r="E211" s="453"/>
      <c r="F211" s="453"/>
      <c r="G211" s="453"/>
      <c r="H211" s="422"/>
      <c r="I211" s="454"/>
      <c r="J211" s="11" t="str">
        <f>IFERROR(VLOOKUP($Q211,FeeLookup!$J$5:$L$33,2,FALSE),"")</f>
        <v/>
      </c>
      <c r="K211" s="11" t="str">
        <f>IFERROR(VLOOKUP($Q211,FeeLookup!$J$5:$L$33,3,FALSE),"")</f>
        <v/>
      </c>
      <c r="L211" s="413"/>
      <c r="M211" s="414"/>
      <c r="N211" s="5"/>
      <c r="O211" s="12" t="e">
        <f>RIGHT(#REF!,LEN(#REF!)-20)</f>
        <v>#REF!</v>
      </c>
      <c r="P211" s="12" t="str">
        <f t="shared" si="56"/>
        <v/>
      </c>
      <c r="Q211" s="13" t="e">
        <f t="shared" si="52"/>
        <v>#REF!</v>
      </c>
      <c r="R211" s="13" t="e">
        <f>IF(#REF!="","",IF(#REF!="","0",#REF!))</f>
        <v>#REF!</v>
      </c>
      <c r="S211" s="12" t="e">
        <f>IF(OR(#REF!="",J211=""),"",IF(OR((R211-#REF!)&gt;0,(I211-J211)&gt;0),"YES","NO"))</f>
        <v>#REF!</v>
      </c>
      <c r="T211" s="12" t="str">
        <f t="shared" si="53"/>
        <v/>
      </c>
      <c r="U211" s="12" t="str">
        <f t="shared" si="57"/>
        <v>YES</v>
      </c>
      <c r="V211" s="14" t="e">
        <f>IF(U211="NO","",IF(AND((COUNTBLANK(B211:B211)=0),OR(COUNTBLANK(I211)=0,COUNTBLANK(#REF!)=0),OR(COUNTBLANK(D211:G211)&lt;&gt;4,COUNTBLANK(#REF!)=0)),"YES","NO"))</f>
        <v>#REF!</v>
      </c>
      <c r="W211" s="14" t="e">
        <f>IF(U211="NO","",IF(SUM(#REF!,D211:G211)&gt;0,"YES","NO"))</f>
        <v>#REF!</v>
      </c>
      <c r="X211" s="14" t="e">
        <f>IF(OR(V211="NO",W211="NO",T211="AHFC",#REF!="AHFC"),"FLAG","")</f>
        <v>#REF!</v>
      </c>
      <c r="Y211" s="15" t="e">
        <f t="shared" si="55"/>
        <v>#REF!</v>
      </c>
    </row>
    <row r="212" spans="1:25" ht="12.75" hidden="1" customHeight="1" x14ac:dyDescent="0.2">
      <c r="A212" s="16">
        <v>40</v>
      </c>
      <c r="B212" s="422"/>
      <c r="C212" s="422"/>
      <c r="D212" s="453"/>
      <c r="E212" s="453"/>
      <c r="F212" s="453"/>
      <c r="G212" s="453"/>
      <c r="H212" s="422"/>
      <c r="I212" s="454"/>
      <c r="J212" s="19" t="str">
        <f>IFERROR(VLOOKUP($Q212,FeeLookup!$J$5:$L$33,2,FALSE),"")</f>
        <v/>
      </c>
      <c r="K212" s="19" t="str">
        <f>IFERROR(VLOOKUP($Q212,FeeLookup!$J$5:$L$33,3,FALSE),"")</f>
        <v/>
      </c>
      <c r="L212" s="413"/>
      <c r="M212" s="414"/>
      <c r="N212" s="5"/>
      <c r="O212" s="12" t="e">
        <f>RIGHT(#REF!,LEN(#REF!)-20)</f>
        <v>#REF!</v>
      </c>
      <c r="P212" s="12" t="str">
        <f t="shared" si="56"/>
        <v/>
      </c>
      <c r="Q212" s="13" t="e">
        <f t="shared" si="52"/>
        <v>#REF!</v>
      </c>
      <c r="R212" s="13" t="e">
        <f>IF(#REF!="","",IF(#REF!="","0",#REF!))</f>
        <v>#REF!</v>
      </c>
      <c r="S212" s="12" t="e">
        <f>IF(OR(#REF!="",J212=""),"",IF(OR((R212-#REF!)&gt;0,(I212-J212)&gt;0),"YES","NO"))</f>
        <v>#REF!</v>
      </c>
      <c r="T212" s="12" t="str">
        <f t="shared" si="53"/>
        <v/>
      </c>
      <c r="U212" s="12" t="str">
        <f t="shared" si="57"/>
        <v>YES</v>
      </c>
      <c r="V212" s="14" t="e">
        <f>IF(U212="NO","",IF(AND((COUNTBLANK(B212:B212)=0),OR(COUNTBLANK(I212)=0,COUNTBLANK(#REF!)=0),OR(COUNTBLANK(D212:G212)&lt;&gt;4,COUNTBLANK(#REF!)=0)),"YES","NO"))</f>
        <v>#REF!</v>
      </c>
      <c r="W212" s="14" t="e">
        <f>IF(U212="NO","",IF(SUM(#REF!,D212:G212)&gt;0,"YES","NO"))</f>
        <v>#REF!</v>
      </c>
      <c r="X212" s="14" t="e">
        <f>IF(OR(V212="NO",W212="NO",T212="AHFC",#REF!="AHFC"),"FLAG","")</f>
        <v>#REF!</v>
      </c>
      <c r="Y212" s="15" t="e">
        <f t="shared" si="55"/>
        <v>#REF!</v>
      </c>
    </row>
    <row r="213" spans="1:25" ht="12.75" hidden="1" customHeight="1" x14ac:dyDescent="0.2">
      <c r="A213" s="8">
        <v>41</v>
      </c>
      <c r="B213" s="161"/>
      <c r="C213" s="161"/>
      <c r="D213" s="451"/>
      <c r="E213" s="451"/>
      <c r="F213" s="451"/>
      <c r="G213" s="451"/>
      <c r="H213" s="161"/>
      <c r="I213" s="452"/>
      <c r="J213" s="20" t="str">
        <f>IFERROR(VLOOKUP($Q213,FeeLookup!$J$5:$L$33,2,FALSE),"")</f>
        <v/>
      </c>
      <c r="K213" s="20" t="str">
        <f>IFERROR(VLOOKUP($Q213,FeeLookup!$J$5:$L$33,3,FALSE),"")</f>
        <v/>
      </c>
      <c r="L213" s="413"/>
      <c r="M213" s="414"/>
      <c r="N213" s="5"/>
      <c r="O213" s="12" t="e">
        <f>RIGHT(#REF!,LEN(#REF!)-20)</f>
        <v>#REF!</v>
      </c>
      <c r="P213" s="12" t="str">
        <f t="shared" si="56"/>
        <v/>
      </c>
      <c r="Q213" s="13" t="e">
        <f t="shared" si="52"/>
        <v>#REF!</v>
      </c>
      <c r="R213" s="13" t="e">
        <f>IF(#REF!="","",IF(#REF!="","0",#REF!))</f>
        <v>#REF!</v>
      </c>
      <c r="S213" s="12" t="e">
        <f>IF(OR(#REF!="",J213=""),"",IF(OR((R213-#REF!)&gt;0,(I213-J213)&gt;0),"YES","NO"))</f>
        <v>#REF!</v>
      </c>
      <c r="T213" s="12" t="str">
        <f t="shared" si="53"/>
        <v/>
      </c>
      <c r="U213" s="12" t="str">
        <f t="shared" si="57"/>
        <v>YES</v>
      </c>
      <c r="V213" s="14" t="e">
        <f>IF(U213="NO","",IF(AND((COUNTBLANK(B213:B213)=0),OR(COUNTBLANK(I213)=0,COUNTBLANK(#REF!)=0),OR(COUNTBLANK(D213:G213)&lt;&gt;4,COUNTBLANK(#REF!)=0)),"YES","NO"))</f>
        <v>#REF!</v>
      </c>
      <c r="W213" s="14" t="e">
        <f>IF(U213="NO","",IF(SUM(#REF!,D213:G213)&gt;0,"YES","NO"))</f>
        <v>#REF!</v>
      </c>
      <c r="X213" s="14" t="e">
        <f>IF(OR(V213="NO",W213="NO",T213="AHFC",#REF!="AHFC"),"FLAG","")</f>
        <v>#REF!</v>
      </c>
      <c r="Y213" s="15" t="e">
        <f t="shared" si="55"/>
        <v>#REF!</v>
      </c>
    </row>
    <row r="214" spans="1:25" ht="12.75" hidden="1" customHeight="1" x14ac:dyDescent="0.2">
      <c r="A214" s="16">
        <v>42</v>
      </c>
      <c r="B214" s="422"/>
      <c r="C214" s="422"/>
      <c r="D214" s="453"/>
      <c r="E214" s="453"/>
      <c r="F214" s="453"/>
      <c r="G214" s="453"/>
      <c r="H214" s="422"/>
      <c r="I214" s="454"/>
      <c r="J214" s="11" t="str">
        <f>IFERROR(VLOOKUP($Q214,FeeLookup!$J$5:$L$33,2,FALSE),"")</f>
        <v/>
      </c>
      <c r="K214" s="11" t="str">
        <f>IFERROR(VLOOKUP($Q214,FeeLookup!$J$5:$L$33,3,FALSE),"")</f>
        <v/>
      </c>
      <c r="L214" s="413"/>
      <c r="M214" s="414"/>
      <c r="N214" s="5"/>
      <c r="O214" s="12" t="e">
        <f>RIGHT(#REF!,LEN(#REF!)-20)</f>
        <v>#REF!</v>
      </c>
      <c r="P214" s="12" t="str">
        <f t="shared" si="56"/>
        <v/>
      </c>
      <c r="Q214" s="13" t="e">
        <f t="shared" si="52"/>
        <v>#REF!</v>
      </c>
      <c r="R214" s="13" t="e">
        <f>IF(#REF!="","",IF(#REF!="","0",#REF!))</f>
        <v>#REF!</v>
      </c>
      <c r="S214" s="12" t="e">
        <f>IF(OR(#REF!="",J214=""),"",IF(OR((R214-#REF!)&gt;0,(I214-J214)&gt;0),"YES","NO"))</f>
        <v>#REF!</v>
      </c>
      <c r="T214" s="12" t="str">
        <f t="shared" si="53"/>
        <v/>
      </c>
      <c r="U214" s="12" t="str">
        <f t="shared" si="57"/>
        <v>YES</v>
      </c>
      <c r="V214" s="14" t="e">
        <f>IF(U214="NO","",IF(AND((COUNTBLANK(B214:B214)=0),OR(COUNTBLANK(I214)=0,COUNTBLANK(#REF!)=0),OR(COUNTBLANK(D214:G214)&lt;&gt;4,COUNTBLANK(#REF!)=0)),"YES","NO"))</f>
        <v>#REF!</v>
      </c>
      <c r="W214" s="14" t="e">
        <f>IF(U214="NO","",IF(SUM(#REF!,D214:G214)&gt;0,"YES","NO"))</f>
        <v>#REF!</v>
      </c>
      <c r="X214" s="14" t="e">
        <f>IF(OR(V214="NO",W214="NO",T214="AHFC",#REF!="AHFC"),"FLAG","")</f>
        <v>#REF!</v>
      </c>
      <c r="Y214" s="15" t="e">
        <f t="shared" si="55"/>
        <v>#REF!</v>
      </c>
    </row>
    <row r="215" spans="1:25" ht="12.75" hidden="1" customHeight="1" x14ac:dyDescent="0.2">
      <c r="A215" s="16">
        <v>43</v>
      </c>
      <c r="B215" s="422"/>
      <c r="C215" s="422"/>
      <c r="D215" s="453"/>
      <c r="E215" s="453"/>
      <c r="F215" s="453"/>
      <c r="G215" s="453"/>
      <c r="H215" s="422"/>
      <c r="I215" s="454"/>
      <c r="J215" s="11" t="str">
        <f>IFERROR(VLOOKUP($Q215,FeeLookup!$J$5:$L$33,2,FALSE),"")</f>
        <v/>
      </c>
      <c r="K215" s="11" t="str">
        <f>IFERROR(VLOOKUP($Q215,FeeLookup!$J$5:$L$33,3,FALSE),"")</f>
        <v/>
      </c>
      <c r="L215" s="413"/>
      <c r="M215" s="414"/>
      <c r="N215" s="5"/>
      <c r="O215" s="12" t="e">
        <f>RIGHT(#REF!,LEN(#REF!)-20)</f>
        <v>#REF!</v>
      </c>
      <c r="P215" s="12" t="str">
        <f t="shared" si="56"/>
        <v/>
      </c>
      <c r="Q215" s="13" t="e">
        <f t="shared" si="52"/>
        <v>#REF!</v>
      </c>
      <c r="R215" s="13" t="e">
        <f>IF(#REF!="","",IF(#REF!="","0",#REF!))</f>
        <v>#REF!</v>
      </c>
      <c r="S215" s="12" t="e">
        <f>IF(OR(#REF!="",J215=""),"",IF(OR((R215-#REF!)&gt;0,(I215-J215)&gt;0),"YES","NO"))</f>
        <v>#REF!</v>
      </c>
      <c r="T215" s="12" t="str">
        <f t="shared" si="53"/>
        <v/>
      </c>
      <c r="U215" s="12" t="str">
        <f t="shared" si="57"/>
        <v>YES</v>
      </c>
      <c r="V215" s="14" t="e">
        <f>IF(U215="NO","",IF(AND((COUNTBLANK(B215:B215)=0),OR(COUNTBLANK(I215)=0,COUNTBLANK(#REF!)=0),OR(COUNTBLANK(D215:G215)&lt;&gt;4,COUNTBLANK(#REF!)=0)),"YES","NO"))</f>
        <v>#REF!</v>
      </c>
      <c r="W215" s="14" t="e">
        <f>IF(U215="NO","",IF(SUM(#REF!,D215:G215)&gt;0,"YES","NO"))</f>
        <v>#REF!</v>
      </c>
      <c r="X215" s="14" t="e">
        <f>IF(OR(V215="NO",W215="NO",T215="AHFC",#REF!="AHFC"),"FLAG","")</f>
        <v>#REF!</v>
      </c>
      <c r="Y215" s="15" t="e">
        <f t="shared" si="55"/>
        <v>#REF!</v>
      </c>
    </row>
    <row r="216" spans="1:25" ht="12.75" hidden="1" customHeight="1" x14ac:dyDescent="0.2">
      <c r="A216" s="16">
        <v>44</v>
      </c>
      <c r="B216" s="422"/>
      <c r="C216" s="422"/>
      <c r="D216" s="453"/>
      <c r="E216" s="453"/>
      <c r="F216" s="453"/>
      <c r="G216" s="453"/>
      <c r="H216" s="422"/>
      <c r="I216" s="454"/>
      <c r="J216" s="19" t="str">
        <f>IFERROR(VLOOKUP($Q216,FeeLookup!$J$5:$L$33,2,FALSE),"")</f>
        <v/>
      </c>
      <c r="K216" s="19" t="str">
        <f>IFERROR(VLOOKUP($Q216,FeeLookup!$J$5:$L$33,3,FALSE),"")</f>
        <v/>
      </c>
      <c r="L216" s="413"/>
      <c r="M216" s="414"/>
      <c r="N216" s="5"/>
      <c r="O216" s="12" t="e">
        <f>RIGHT(#REF!,LEN(#REF!)-20)</f>
        <v>#REF!</v>
      </c>
      <c r="P216" s="12" t="str">
        <f t="shared" si="56"/>
        <v/>
      </c>
      <c r="Q216" s="13" t="e">
        <f t="shared" si="52"/>
        <v>#REF!</v>
      </c>
      <c r="R216" s="13" t="e">
        <f>IF(#REF!="","",IF(#REF!="","0",#REF!))</f>
        <v>#REF!</v>
      </c>
      <c r="S216" s="12" t="e">
        <f>IF(OR(#REF!="",J216=""),"",IF(OR((R216-#REF!)&gt;0,(I216-J216)&gt;0),"YES","NO"))</f>
        <v>#REF!</v>
      </c>
      <c r="T216" s="12" t="str">
        <f t="shared" si="53"/>
        <v/>
      </c>
      <c r="U216" s="12" t="str">
        <f t="shared" si="57"/>
        <v>YES</v>
      </c>
      <c r="V216" s="14" t="e">
        <f>IF(U216="NO","",IF(AND((COUNTBLANK(B216:B216)=0),OR(COUNTBLANK(I216)=0,COUNTBLANK(#REF!)=0),OR(COUNTBLANK(D216:G216)&lt;&gt;4,COUNTBLANK(#REF!)=0)),"YES","NO"))</f>
        <v>#REF!</v>
      </c>
      <c r="W216" s="14" t="e">
        <f>IF(U216="NO","",IF(SUM(#REF!,D216:G216)&gt;0,"YES","NO"))</f>
        <v>#REF!</v>
      </c>
      <c r="X216" s="14" t="e">
        <f>IF(OR(V216="NO",W216="NO",T216="AHFC",#REF!="AHFC"),"FLAG","")</f>
        <v>#REF!</v>
      </c>
      <c r="Y216" s="15" t="e">
        <f t="shared" si="55"/>
        <v>#REF!</v>
      </c>
    </row>
    <row r="217" spans="1:25" ht="12.75" hidden="1" customHeight="1" x14ac:dyDescent="0.2">
      <c r="A217" s="8">
        <v>45</v>
      </c>
      <c r="B217" s="161"/>
      <c r="C217" s="161"/>
      <c r="D217" s="451"/>
      <c r="E217" s="451"/>
      <c r="F217" s="451"/>
      <c r="G217" s="451"/>
      <c r="H217" s="161"/>
      <c r="I217" s="452"/>
      <c r="J217" s="20" t="str">
        <f>IFERROR(VLOOKUP($Q217,FeeLookup!$J$5:$L$33,2,FALSE),"")</f>
        <v/>
      </c>
      <c r="K217" s="20" t="str">
        <f>IFERROR(VLOOKUP($Q217,FeeLookup!$J$5:$L$33,3,FALSE),"")</f>
        <v/>
      </c>
      <c r="L217" s="413"/>
      <c r="M217" s="414"/>
      <c r="N217" s="5"/>
      <c r="O217" s="12" t="e">
        <f>RIGHT(#REF!,LEN(#REF!)-20)</f>
        <v>#REF!</v>
      </c>
      <c r="P217" s="12" t="str">
        <f t="shared" si="56"/>
        <v/>
      </c>
      <c r="Q217" s="13" t="e">
        <f t="shared" si="52"/>
        <v>#REF!</v>
      </c>
      <c r="R217" s="13" t="e">
        <f>IF(#REF!="","",IF(#REF!="","0",#REF!))</f>
        <v>#REF!</v>
      </c>
      <c r="S217" s="12" t="e">
        <f>IF(OR(#REF!="",J217=""),"",IF(OR((R217-#REF!)&gt;0,(I217-J217)&gt;0),"YES","NO"))</f>
        <v>#REF!</v>
      </c>
      <c r="T217" s="12" t="str">
        <f t="shared" si="53"/>
        <v/>
      </c>
      <c r="U217" s="12" t="str">
        <f t="shared" si="57"/>
        <v>YES</v>
      </c>
      <c r="V217" s="14" t="e">
        <f>IF(U217="NO","",IF(AND((COUNTBLANK(B217:B217)=0),OR(COUNTBLANK(I217)=0,COUNTBLANK(#REF!)=0),OR(COUNTBLANK(D217:G217)&lt;&gt;4,COUNTBLANK(#REF!)=0)),"YES","NO"))</f>
        <v>#REF!</v>
      </c>
      <c r="W217" s="14" t="e">
        <f>IF(U217="NO","",IF(SUM(#REF!,D217:G217)&gt;0,"YES","NO"))</f>
        <v>#REF!</v>
      </c>
      <c r="X217" s="14" t="e">
        <f>IF(OR(V217="NO",W217="NO",T217="AHFC",#REF!="AHFC"),"FLAG","")</f>
        <v>#REF!</v>
      </c>
      <c r="Y217" s="15" t="e">
        <f t="shared" si="55"/>
        <v>#REF!</v>
      </c>
    </row>
    <row r="218" spans="1:25" ht="12.75" hidden="1" customHeight="1" x14ac:dyDescent="0.2">
      <c r="A218" s="16">
        <v>46</v>
      </c>
      <c r="B218" s="422"/>
      <c r="C218" s="422"/>
      <c r="D218" s="453"/>
      <c r="E218" s="453"/>
      <c r="F218" s="453"/>
      <c r="G218" s="453"/>
      <c r="H218" s="422"/>
      <c r="I218" s="454"/>
      <c r="J218" s="11" t="str">
        <f>IFERROR(VLOOKUP($Q218,FeeLookup!$J$5:$L$33,2,FALSE),"")</f>
        <v/>
      </c>
      <c r="K218" s="11" t="str">
        <f>IFERROR(VLOOKUP($Q218,FeeLookup!$J$5:$L$33,3,FALSE),"")</f>
        <v/>
      </c>
      <c r="L218" s="413"/>
      <c r="M218" s="414"/>
      <c r="N218" s="5"/>
      <c r="O218" s="12" t="e">
        <f>RIGHT(#REF!,LEN(#REF!)-20)</f>
        <v>#REF!</v>
      </c>
      <c r="P218" s="12" t="str">
        <f t="shared" si="56"/>
        <v/>
      </c>
      <c r="Q218" s="13" t="e">
        <f t="shared" si="52"/>
        <v>#REF!</v>
      </c>
      <c r="R218" s="13" t="e">
        <f>IF(#REF!="","",IF(#REF!="","0",#REF!))</f>
        <v>#REF!</v>
      </c>
      <c r="S218" s="12" t="e">
        <f>IF(OR(#REF!="",J218=""),"",IF(OR((R218-#REF!)&gt;0,(I218-J218)&gt;0),"YES","NO"))</f>
        <v>#REF!</v>
      </c>
      <c r="T218" s="12" t="str">
        <f t="shared" si="53"/>
        <v/>
      </c>
      <c r="U218" s="12" t="str">
        <f t="shared" si="57"/>
        <v>YES</v>
      </c>
      <c r="V218" s="14" t="e">
        <f>IF(U218="NO","",IF(AND((COUNTBLANK(B218:B218)=0),OR(COUNTBLANK(I218)=0,COUNTBLANK(#REF!)=0),OR(COUNTBLANK(D218:G218)&lt;&gt;4,COUNTBLANK(#REF!)=0)),"YES","NO"))</f>
        <v>#REF!</v>
      </c>
      <c r="W218" s="14" t="e">
        <f>IF(U218="NO","",IF(SUM(#REF!,D218:G218)&gt;0,"YES","NO"))</f>
        <v>#REF!</v>
      </c>
      <c r="X218" s="14" t="e">
        <f>IF(OR(V218="NO",W218="NO",T218="AHFC",#REF!="AHFC"),"FLAG","")</f>
        <v>#REF!</v>
      </c>
      <c r="Y218" s="15" t="e">
        <f t="shared" si="55"/>
        <v>#REF!</v>
      </c>
    </row>
    <row r="219" spans="1:25" ht="12.75" hidden="1" customHeight="1" x14ac:dyDescent="0.2">
      <c r="A219" s="16">
        <v>47</v>
      </c>
      <c r="B219" s="422"/>
      <c r="C219" s="422"/>
      <c r="D219" s="453"/>
      <c r="E219" s="453"/>
      <c r="F219" s="453"/>
      <c r="G219" s="453"/>
      <c r="H219" s="422"/>
      <c r="I219" s="454"/>
      <c r="J219" s="11" t="str">
        <f>IFERROR(VLOOKUP($Q219,FeeLookup!$J$5:$L$33,2,FALSE),"")</f>
        <v/>
      </c>
      <c r="K219" s="11" t="str">
        <f>IFERROR(VLOOKUP($Q219,FeeLookup!$J$5:$L$33,3,FALSE),"")</f>
        <v/>
      </c>
      <c r="L219" s="413"/>
      <c r="M219" s="414"/>
      <c r="N219" s="5"/>
      <c r="O219" s="12" t="e">
        <f>RIGHT(#REF!,LEN(#REF!)-20)</f>
        <v>#REF!</v>
      </c>
      <c r="P219" s="12" t="str">
        <f t="shared" si="56"/>
        <v/>
      </c>
      <c r="Q219" s="13" t="e">
        <f t="shared" si="52"/>
        <v>#REF!</v>
      </c>
      <c r="R219" s="13" t="e">
        <f>IF(#REF!="","",IF(#REF!="","0",#REF!))</f>
        <v>#REF!</v>
      </c>
      <c r="S219" s="12" t="e">
        <f>IF(OR(#REF!="",J219=""),"",IF(OR((R219-#REF!)&gt;0,(I219-J219)&gt;0),"YES","NO"))</f>
        <v>#REF!</v>
      </c>
      <c r="T219" s="12" t="str">
        <f t="shared" si="53"/>
        <v/>
      </c>
      <c r="U219" s="12" t="str">
        <f t="shared" si="57"/>
        <v>YES</v>
      </c>
      <c r="V219" s="14" t="e">
        <f>IF(U219="NO","",IF(AND((COUNTBLANK(B219:B219)=0),OR(COUNTBLANK(I219)=0,COUNTBLANK(#REF!)=0),OR(COUNTBLANK(D219:G219)&lt;&gt;4,COUNTBLANK(#REF!)=0)),"YES","NO"))</f>
        <v>#REF!</v>
      </c>
      <c r="W219" s="14" t="e">
        <f>IF(U219="NO","",IF(SUM(#REF!,D219:G219)&gt;0,"YES","NO"))</f>
        <v>#REF!</v>
      </c>
      <c r="X219" s="14" t="e">
        <f>IF(OR(V219="NO",W219="NO",T219="AHFC",#REF!="AHFC"),"FLAG","")</f>
        <v>#REF!</v>
      </c>
      <c r="Y219" s="15" t="e">
        <f t="shared" si="55"/>
        <v>#REF!</v>
      </c>
    </row>
    <row r="220" spans="1:25" ht="12.75" hidden="1" customHeight="1" x14ac:dyDescent="0.2">
      <c r="A220" s="16">
        <v>48</v>
      </c>
      <c r="B220" s="422"/>
      <c r="C220" s="422"/>
      <c r="D220" s="453"/>
      <c r="E220" s="453"/>
      <c r="F220" s="453"/>
      <c r="G220" s="453"/>
      <c r="H220" s="422"/>
      <c r="I220" s="454"/>
      <c r="J220" s="19" t="str">
        <f>IFERROR(VLOOKUP($Q220,FeeLookup!$J$5:$L$33,2,FALSE),"")</f>
        <v/>
      </c>
      <c r="K220" s="19" t="str">
        <f>IFERROR(VLOOKUP($Q220,FeeLookup!$J$5:$L$33,3,FALSE),"")</f>
        <v/>
      </c>
      <c r="L220" s="413"/>
      <c r="M220" s="414"/>
      <c r="N220" s="5"/>
      <c r="O220" s="12" t="e">
        <f>RIGHT(#REF!,LEN(#REF!)-20)</f>
        <v>#REF!</v>
      </c>
      <c r="P220" s="12" t="str">
        <f t="shared" si="56"/>
        <v/>
      </c>
      <c r="Q220" s="13" t="e">
        <f t="shared" si="52"/>
        <v>#REF!</v>
      </c>
      <c r="R220" s="13" t="e">
        <f>IF(#REF!="","",IF(#REF!="","0",#REF!))</f>
        <v>#REF!</v>
      </c>
      <c r="S220" s="12" t="e">
        <f>IF(OR(#REF!="",J220=""),"",IF(OR((R220-#REF!)&gt;0,(I220-J220)&gt;0),"YES","NO"))</f>
        <v>#REF!</v>
      </c>
      <c r="T220" s="12" t="str">
        <f t="shared" si="53"/>
        <v/>
      </c>
      <c r="U220" s="12" t="str">
        <f t="shared" si="57"/>
        <v>YES</v>
      </c>
      <c r="V220" s="14" t="e">
        <f>IF(U220="NO","",IF(AND((COUNTBLANK(B220:B220)=0),OR(COUNTBLANK(I220)=0,COUNTBLANK(#REF!)=0),OR(COUNTBLANK(D220:G220)&lt;&gt;4,COUNTBLANK(#REF!)=0)),"YES","NO"))</f>
        <v>#REF!</v>
      </c>
      <c r="W220" s="14" t="e">
        <f>IF(U220="NO","",IF(SUM(#REF!,D220:G220)&gt;0,"YES","NO"))</f>
        <v>#REF!</v>
      </c>
      <c r="X220" s="14" t="e">
        <f>IF(OR(V220="NO",W220="NO",T220="AHFC",#REF!="AHFC"),"FLAG","")</f>
        <v>#REF!</v>
      </c>
      <c r="Y220" s="15" t="e">
        <f t="shared" si="55"/>
        <v>#REF!</v>
      </c>
    </row>
    <row r="221" spans="1:25" ht="12.75" hidden="1" customHeight="1" x14ac:dyDescent="0.2">
      <c r="A221" s="8">
        <v>49</v>
      </c>
      <c r="B221" s="161"/>
      <c r="C221" s="161"/>
      <c r="D221" s="451"/>
      <c r="E221" s="451"/>
      <c r="F221" s="451"/>
      <c r="G221" s="451"/>
      <c r="H221" s="161"/>
      <c r="I221" s="452"/>
      <c r="J221" s="20" t="str">
        <f>IFERROR(VLOOKUP($Q221,FeeLookup!$J$5:$L$33,2,FALSE),"")</f>
        <v/>
      </c>
      <c r="K221" s="20" t="str">
        <f>IFERROR(VLOOKUP($Q221,FeeLookup!$J$5:$L$33,3,FALSE),"")</f>
        <v/>
      </c>
      <c r="L221" s="413"/>
      <c r="M221" s="414"/>
      <c r="N221" s="5"/>
      <c r="O221" s="12" t="e">
        <f>RIGHT(#REF!,LEN(#REF!)-20)</f>
        <v>#REF!</v>
      </c>
      <c r="P221" s="12" t="str">
        <f t="shared" si="56"/>
        <v/>
      </c>
      <c r="Q221" s="13" t="e">
        <f t="shared" si="52"/>
        <v>#REF!</v>
      </c>
      <c r="R221" s="13" t="e">
        <f>IF(#REF!="","",IF(#REF!="","0",#REF!))</f>
        <v>#REF!</v>
      </c>
      <c r="S221" s="12" t="e">
        <f>IF(OR(#REF!="",J221=""),"",IF(OR((R221-#REF!)&gt;0,(I221-J221)&gt;0),"YES","NO"))</f>
        <v>#REF!</v>
      </c>
      <c r="T221" s="12" t="str">
        <f t="shared" si="53"/>
        <v/>
      </c>
      <c r="U221" s="12" t="str">
        <f t="shared" si="57"/>
        <v>YES</v>
      </c>
      <c r="V221" s="14" t="e">
        <f>IF(U221="NO","",IF(AND((COUNTBLANK(B221:B221)=0),OR(COUNTBLANK(I221)=0,COUNTBLANK(#REF!)=0),OR(COUNTBLANK(D221:G221)&lt;&gt;4,COUNTBLANK(#REF!)=0)),"YES","NO"))</f>
        <v>#REF!</v>
      </c>
      <c r="W221" s="14" t="e">
        <f>IF(U221="NO","",IF(SUM(#REF!,D221:G221)&gt;0,"YES","NO"))</f>
        <v>#REF!</v>
      </c>
      <c r="X221" s="14" t="e">
        <f>IF(OR(V221="NO",W221="NO",T221="AHFC",#REF!="AHFC"),"FLAG","")</f>
        <v>#REF!</v>
      </c>
      <c r="Y221" s="15" t="e">
        <f t="shared" si="55"/>
        <v>#REF!</v>
      </c>
    </row>
    <row r="222" spans="1:25" ht="12.75" hidden="1" customHeight="1" x14ac:dyDescent="0.2">
      <c r="A222" s="16">
        <v>50</v>
      </c>
      <c r="B222" s="422"/>
      <c r="C222" s="422"/>
      <c r="D222" s="453"/>
      <c r="E222" s="453"/>
      <c r="F222" s="453"/>
      <c r="G222" s="453"/>
      <c r="H222" s="422"/>
      <c r="I222" s="454"/>
      <c r="J222" s="11" t="str">
        <f>IFERROR(VLOOKUP($Q222,FeeLookup!$J$5:$L$33,2,FALSE),"")</f>
        <v/>
      </c>
      <c r="K222" s="11" t="str">
        <f>IFERROR(VLOOKUP($Q222,FeeLookup!$J$5:$L$33,3,FALSE),"")</f>
        <v/>
      </c>
      <c r="L222" s="413"/>
      <c r="M222" s="414"/>
      <c r="N222" s="5"/>
      <c r="O222" s="12" t="e">
        <f>RIGHT(#REF!,LEN(#REF!)-20)</f>
        <v>#REF!</v>
      </c>
      <c r="P222" s="12" t="str">
        <f t="shared" si="56"/>
        <v/>
      </c>
      <c r="Q222" s="13" t="e">
        <f t="shared" si="52"/>
        <v>#REF!</v>
      </c>
      <c r="R222" s="13" t="e">
        <f>IF(#REF!="","",IF(#REF!="","0",#REF!))</f>
        <v>#REF!</v>
      </c>
      <c r="S222" s="12" t="e">
        <f>IF(OR(#REF!="",J222=""),"",IF(OR((R222-#REF!)&gt;0,(I222-J222)&gt;0),"YES","NO"))</f>
        <v>#REF!</v>
      </c>
      <c r="T222" s="12" t="str">
        <f t="shared" si="53"/>
        <v/>
      </c>
      <c r="U222" s="12" t="str">
        <f t="shared" si="57"/>
        <v>YES</v>
      </c>
      <c r="V222" s="14" t="e">
        <f>IF(U222="NO","",IF(AND((COUNTBLANK(B222:B222)=0),OR(COUNTBLANK(I222)=0,COUNTBLANK(#REF!)=0),OR(COUNTBLANK(D222:G222)&lt;&gt;4,COUNTBLANK(#REF!)=0)),"YES","NO"))</f>
        <v>#REF!</v>
      </c>
      <c r="W222" s="14" t="e">
        <f>IF(U222="NO","",IF(SUM(#REF!,D222:G222)&gt;0,"YES","NO"))</f>
        <v>#REF!</v>
      </c>
      <c r="X222" s="14" t="e">
        <f>IF(OR(V222="NO",W222="NO",T222="AHFC",#REF!="AHFC"),"FLAG","")</f>
        <v>#REF!</v>
      </c>
      <c r="Y222" s="15" t="e">
        <f t="shared" si="55"/>
        <v>#REF!</v>
      </c>
    </row>
    <row r="223" spans="1:25" ht="12.75" hidden="1" customHeight="1" x14ac:dyDescent="0.2">
      <c r="A223" s="16">
        <v>51</v>
      </c>
      <c r="B223" s="422"/>
      <c r="C223" s="422"/>
      <c r="D223" s="453"/>
      <c r="E223" s="453"/>
      <c r="F223" s="453"/>
      <c r="G223" s="453"/>
      <c r="H223" s="422"/>
      <c r="I223" s="454"/>
      <c r="J223" s="11" t="str">
        <f>IFERROR(VLOOKUP($Q223,FeeLookup!$J$5:$L$33,2,FALSE),"")</f>
        <v/>
      </c>
      <c r="K223" s="11" t="str">
        <f>IFERROR(VLOOKUP($Q223,FeeLookup!$J$5:$L$33,3,FALSE),"")</f>
        <v/>
      </c>
      <c r="L223" s="413"/>
      <c r="M223" s="414"/>
      <c r="N223" s="5"/>
      <c r="O223" s="12" t="e">
        <f>RIGHT(#REF!,LEN(#REF!)-20)</f>
        <v>#REF!</v>
      </c>
      <c r="P223" s="12" t="str">
        <f t="shared" si="56"/>
        <v/>
      </c>
      <c r="Q223" s="13" t="e">
        <f t="shared" si="52"/>
        <v>#REF!</v>
      </c>
      <c r="R223" s="13" t="e">
        <f>IF(#REF!="","",IF(#REF!="","0",#REF!))</f>
        <v>#REF!</v>
      </c>
      <c r="S223" s="12" t="e">
        <f>IF(OR(#REF!="",J223=""),"",IF(OR((R223-#REF!)&gt;0,(I223-J223)&gt;0),"YES","NO"))</f>
        <v>#REF!</v>
      </c>
      <c r="T223" s="12" t="str">
        <f t="shared" si="53"/>
        <v/>
      </c>
      <c r="U223" s="12" t="str">
        <f t="shared" si="57"/>
        <v>YES</v>
      </c>
      <c r="V223" s="14" t="e">
        <f>IF(U223="NO","",IF(AND((COUNTBLANK(B223:B223)=0),OR(COUNTBLANK(I223)=0,COUNTBLANK(#REF!)=0),OR(COUNTBLANK(D223:G223)&lt;&gt;4,COUNTBLANK(#REF!)=0)),"YES","NO"))</f>
        <v>#REF!</v>
      </c>
      <c r="W223" s="14" t="e">
        <f>IF(U223="NO","",IF(SUM(#REF!,D223:G223)&gt;0,"YES","NO"))</f>
        <v>#REF!</v>
      </c>
      <c r="X223" s="14" t="e">
        <f>IF(OR(V223="NO",W223="NO",T223="AHFC",#REF!="AHFC"),"FLAG","")</f>
        <v>#REF!</v>
      </c>
      <c r="Y223" s="15" t="e">
        <f t="shared" si="55"/>
        <v>#REF!</v>
      </c>
    </row>
    <row r="224" spans="1:25" ht="12.75" hidden="1" customHeight="1" x14ac:dyDescent="0.2">
      <c r="A224" s="16">
        <v>52</v>
      </c>
      <c r="B224" s="422"/>
      <c r="C224" s="422"/>
      <c r="D224" s="453"/>
      <c r="E224" s="453"/>
      <c r="F224" s="453"/>
      <c r="G224" s="453"/>
      <c r="H224" s="422"/>
      <c r="I224" s="454"/>
      <c r="J224" s="19" t="str">
        <f>IFERROR(VLOOKUP($Q224,FeeLookup!$J$5:$L$33,2,FALSE),"")</f>
        <v/>
      </c>
      <c r="K224" s="19" t="str">
        <f>IFERROR(VLOOKUP($Q224,FeeLookup!$J$5:$L$33,3,FALSE),"")</f>
        <v/>
      </c>
      <c r="L224" s="413"/>
      <c r="M224" s="414"/>
      <c r="N224" s="5"/>
      <c r="O224" s="12" t="e">
        <f>RIGHT(#REF!,LEN(#REF!)-20)</f>
        <v>#REF!</v>
      </c>
      <c r="P224" s="12" t="str">
        <f t="shared" si="56"/>
        <v/>
      </c>
      <c r="Q224" s="13" t="e">
        <f t="shared" si="52"/>
        <v>#REF!</v>
      </c>
      <c r="R224" s="13" t="e">
        <f>IF(#REF!="","",IF(#REF!="","0",#REF!))</f>
        <v>#REF!</v>
      </c>
      <c r="S224" s="12" t="e">
        <f>IF(OR(#REF!="",J224=""),"",IF(OR((R224-#REF!)&gt;0,(I224-J224)&gt;0),"YES","NO"))</f>
        <v>#REF!</v>
      </c>
      <c r="T224" s="12" t="str">
        <f t="shared" si="53"/>
        <v/>
      </c>
      <c r="U224" s="12" t="str">
        <f t="shared" si="57"/>
        <v>YES</v>
      </c>
      <c r="V224" s="14" t="e">
        <f>IF(U224="NO","",IF(AND((COUNTBLANK(B224:B224)=0),OR(COUNTBLANK(I224)=0,COUNTBLANK(#REF!)=0),OR(COUNTBLANK(D224:G224)&lt;&gt;4,COUNTBLANK(#REF!)=0)),"YES","NO"))</f>
        <v>#REF!</v>
      </c>
      <c r="W224" s="14" t="e">
        <f>IF(U224="NO","",IF(SUM(#REF!,D224:G224)&gt;0,"YES","NO"))</f>
        <v>#REF!</v>
      </c>
      <c r="X224" s="14" t="e">
        <f>IF(OR(V224="NO",W224="NO",T224="AHFC",#REF!="AHFC"),"FLAG","")</f>
        <v>#REF!</v>
      </c>
      <c r="Y224" s="15" t="e">
        <f t="shared" si="55"/>
        <v>#REF!</v>
      </c>
    </row>
    <row r="225" spans="1:25" ht="12.75" hidden="1" customHeight="1" x14ac:dyDescent="0.2">
      <c r="A225" s="8">
        <v>53</v>
      </c>
      <c r="B225" s="161"/>
      <c r="C225" s="161"/>
      <c r="D225" s="451"/>
      <c r="E225" s="451"/>
      <c r="F225" s="451"/>
      <c r="G225" s="451"/>
      <c r="H225" s="161"/>
      <c r="I225" s="452"/>
      <c r="J225" s="20" t="str">
        <f>IFERROR(VLOOKUP($Q225,FeeLookup!$J$5:$L$33,2,FALSE),"")</f>
        <v/>
      </c>
      <c r="K225" s="20" t="str">
        <f>IFERROR(VLOOKUP($Q225,FeeLookup!$J$5:$L$33,3,FALSE),"")</f>
        <v/>
      </c>
      <c r="L225" s="413"/>
      <c r="M225" s="414"/>
      <c r="N225" s="5"/>
      <c r="O225" s="12" t="e">
        <f>RIGHT(#REF!,LEN(#REF!)-20)</f>
        <v>#REF!</v>
      </c>
      <c r="P225" s="12" t="str">
        <f t="shared" si="56"/>
        <v/>
      </c>
      <c r="Q225" s="13" t="e">
        <f t="shared" si="52"/>
        <v>#REF!</v>
      </c>
      <c r="R225" s="13" t="e">
        <f>IF(#REF!="","",IF(#REF!="","0",#REF!))</f>
        <v>#REF!</v>
      </c>
      <c r="S225" s="12" t="e">
        <f>IF(OR(#REF!="",J225=""),"",IF(OR((R225-#REF!)&gt;0,(I225-J225)&gt;0),"YES","NO"))</f>
        <v>#REF!</v>
      </c>
      <c r="T225" s="12" t="str">
        <f t="shared" si="53"/>
        <v/>
      </c>
      <c r="U225" s="12" t="str">
        <f t="shared" si="57"/>
        <v>YES</v>
      </c>
      <c r="V225" s="14" t="e">
        <f>IF(U225="NO","",IF(AND((COUNTBLANK(B225:B225)=0),OR(COUNTBLANK(I225)=0,COUNTBLANK(#REF!)=0),OR(COUNTBLANK(D225:G225)&lt;&gt;4,COUNTBLANK(#REF!)=0)),"YES","NO"))</f>
        <v>#REF!</v>
      </c>
      <c r="W225" s="14" t="e">
        <f>IF(U225="NO","",IF(SUM(#REF!,D225:G225)&gt;0,"YES","NO"))</f>
        <v>#REF!</v>
      </c>
      <c r="X225" s="14" t="e">
        <f>IF(OR(V225="NO",W225="NO",T225="AHFC",#REF!="AHFC"),"FLAG","")</f>
        <v>#REF!</v>
      </c>
      <c r="Y225" s="15" t="e">
        <f t="shared" si="55"/>
        <v>#REF!</v>
      </c>
    </row>
    <row r="226" spans="1:25" ht="12.75" hidden="1" customHeight="1" x14ac:dyDescent="0.2">
      <c r="A226" s="16">
        <v>54</v>
      </c>
      <c r="B226" s="422"/>
      <c r="C226" s="422"/>
      <c r="D226" s="453"/>
      <c r="E226" s="453"/>
      <c r="F226" s="453"/>
      <c r="G226" s="453"/>
      <c r="H226" s="422"/>
      <c r="I226" s="454"/>
      <c r="J226" s="11" t="str">
        <f>IFERROR(VLOOKUP($Q226,FeeLookup!$J$5:$L$33,2,FALSE),"")</f>
        <v/>
      </c>
      <c r="K226" s="11" t="str">
        <f>IFERROR(VLOOKUP($Q226,FeeLookup!$J$5:$L$33,3,FALSE),"")</f>
        <v/>
      </c>
      <c r="L226" s="413"/>
      <c r="M226" s="414"/>
      <c r="N226" s="5"/>
      <c r="O226" s="12" t="e">
        <f>RIGHT(#REF!,LEN(#REF!)-20)</f>
        <v>#REF!</v>
      </c>
      <c r="P226" s="12" t="str">
        <f t="shared" si="56"/>
        <v/>
      </c>
      <c r="Q226" s="13" t="e">
        <f t="shared" si="52"/>
        <v>#REF!</v>
      </c>
      <c r="R226" s="13" t="e">
        <f>IF(#REF!="","",IF(#REF!="","0",#REF!))</f>
        <v>#REF!</v>
      </c>
      <c r="S226" s="12" t="e">
        <f>IF(OR(#REF!="",J226=""),"",IF(OR((R226-#REF!)&gt;0,(I226-J226)&gt;0),"YES","NO"))</f>
        <v>#REF!</v>
      </c>
      <c r="T226" s="12" t="str">
        <f t="shared" si="53"/>
        <v/>
      </c>
      <c r="U226" s="12" t="str">
        <f t="shared" si="57"/>
        <v>YES</v>
      </c>
      <c r="V226" s="14" t="e">
        <f>IF(U226="NO","",IF(AND((COUNTBLANK(B226:B226)=0),OR(COUNTBLANK(I226)=0,COUNTBLANK(#REF!)=0),OR(COUNTBLANK(D226:G226)&lt;&gt;4,COUNTBLANK(#REF!)=0)),"YES","NO"))</f>
        <v>#REF!</v>
      </c>
      <c r="W226" s="14" t="e">
        <f>IF(U226="NO","",IF(SUM(#REF!,D226:G226)&gt;0,"YES","NO"))</f>
        <v>#REF!</v>
      </c>
      <c r="X226" s="14" t="e">
        <f>IF(OR(V226="NO",W226="NO",T226="AHFC",#REF!="AHFC"),"FLAG","")</f>
        <v>#REF!</v>
      </c>
      <c r="Y226" s="15" t="e">
        <f t="shared" si="55"/>
        <v>#REF!</v>
      </c>
    </row>
    <row r="227" spans="1:25" ht="12.75" hidden="1" customHeight="1" x14ac:dyDescent="0.2">
      <c r="A227" s="16">
        <v>55</v>
      </c>
      <c r="B227" s="422"/>
      <c r="C227" s="422"/>
      <c r="D227" s="453"/>
      <c r="E227" s="453"/>
      <c r="F227" s="453"/>
      <c r="G227" s="453"/>
      <c r="H227" s="422"/>
      <c r="I227" s="454"/>
      <c r="J227" s="11" t="str">
        <f>IFERROR(VLOOKUP($Q227,FeeLookup!$J$5:$L$33,2,FALSE),"")</f>
        <v/>
      </c>
      <c r="K227" s="11" t="str">
        <f>IFERROR(VLOOKUP($Q227,FeeLookup!$J$5:$L$33,3,FALSE),"")</f>
        <v/>
      </c>
      <c r="L227" s="413"/>
      <c r="M227" s="414"/>
      <c r="N227" s="5"/>
      <c r="O227" s="12" t="e">
        <f>RIGHT(#REF!,LEN(#REF!)-20)</f>
        <v>#REF!</v>
      </c>
      <c r="P227" s="12" t="str">
        <f t="shared" si="56"/>
        <v/>
      </c>
      <c r="Q227" s="13" t="e">
        <f t="shared" si="52"/>
        <v>#REF!</v>
      </c>
      <c r="R227" s="13" t="e">
        <f>IF(#REF!="","",IF(#REF!="","0",#REF!))</f>
        <v>#REF!</v>
      </c>
      <c r="S227" s="12" t="e">
        <f>IF(OR(#REF!="",J227=""),"",IF(OR((R227-#REF!)&gt;0,(I227-J227)&gt;0),"YES","NO"))</f>
        <v>#REF!</v>
      </c>
      <c r="T227" s="12" t="str">
        <f t="shared" si="53"/>
        <v/>
      </c>
      <c r="U227" s="12" t="str">
        <f t="shared" si="57"/>
        <v>YES</v>
      </c>
      <c r="V227" s="14" t="e">
        <f>IF(U227="NO","",IF(AND((COUNTBLANK(B227:B227)=0),OR(COUNTBLANK(I227)=0,COUNTBLANK(#REF!)=0),OR(COUNTBLANK(D227:G227)&lt;&gt;4,COUNTBLANK(#REF!)=0)),"YES","NO"))</f>
        <v>#REF!</v>
      </c>
      <c r="W227" s="14" t="e">
        <f>IF(U227="NO","",IF(SUM(#REF!,D227:G227)&gt;0,"YES","NO"))</f>
        <v>#REF!</v>
      </c>
      <c r="X227" s="14" t="e">
        <f>IF(OR(V227="NO",W227="NO",T227="AHFC",#REF!="AHFC"),"FLAG","")</f>
        <v>#REF!</v>
      </c>
      <c r="Y227" s="15" t="e">
        <f t="shared" si="55"/>
        <v>#REF!</v>
      </c>
    </row>
    <row r="228" spans="1:25" ht="12.75" hidden="1" customHeight="1" x14ac:dyDescent="0.2">
      <c r="A228" s="16">
        <v>56</v>
      </c>
      <c r="B228" s="422"/>
      <c r="C228" s="422"/>
      <c r="D228" s="453"/>
      <c r="E228" s="453"/>
      <c r="F228" s="453"/>
      <c r="G228" s="453"/>
      <c r="H228" s="422"/>
      <c r="I228" s="454"/>
      <c r="J228" s="19" t="str">
        <f>IFERROR(VLOOKUP($Q228,FeeLookup!$J$5:$L$33,2,FALSE),"")</f>
        <v/>
      </c>
      <c r="K228" s="19" t="str">
        <f>IFERROR(VLOOKUP($Q228,FeeLookup!$J$5:$L$33,3,FALSE),"")</f>
        <v/>
      </c>
      <c r="L228" s="413"/>
      <c r="M228" s="414"/>
      <c r="N228" s="5"/>
      <c r="O228" s="12" t="e">
        <f>RIGHT(#REF!,LEN(#REF!)-20)</f>
        <v>#REF!</v>
      </c>
      <c r="P228" s="12" t="str">
        <f t="shared" si="56"/>
        <v/>
      </c>
      <c r="Q228" s="13" t="e">
        <f t="shared" si="52"/>
        <v>#REF!</v>
      </c>
      <c r="R228" s="13" t="e">
        <f>IF(#REF!="","",IF(#REF!="","0",#REF!))</f>
        <v>#REF!</v>
      </c>
      <c r="S228" s="12" t="e">
        <f>IF(OR(#REF!="",J228=""),"",IF(OR((R228-#REF!)&gt;0,(I228-J228)&gt;0),"YES","NO"))</f>
        <v>#REF!</v>
      </c>
      <c r="T228" s="12" t="str">
        <f t="shared" si="53"/>
        <v/>
      </c>
      <c r="U228" s="12" t="str">
        <f t="shared" si="57"/>
        <v>YES</v>
      </c>
      <c r="V228" s="14" t="e">
        <f>IF(U228="NO","",IF(AND((COUNTBLANK(B228:B228)=0),OR(COUNTBLANK(I228)=0,COUNTBLANK(#REF!)=0),OR(COUNTBLANK(D228:G228)&lt;&gt;4,COUNTBLANK(#REF!)=0)),"YES","NO"))</f>
        <v>#REF!</v>
      </c>
      <c r="W228" s="14" t="e">
        <f>IF(U228="NO","",IF(SUM(#REF!,D228:G228)&gt;0,"YES","NO"))</f>
        <v>#REF!</v>
      </c>
      <c r="X228" s="14" t="e">
        <f>IF(OR(V228="NO",W228="NO",T228="AHFC",#REF!="AHFC"),"FLAG","")</f>
        <v>#REF!</v>
      </c>
      <c r="Y228" s="15" t="e">
        <f t="shared" si="55"/>
        <v>#REF!</v>
      </c>
    </row>
    <row r="229" spans="1:25" ht="12.75" hidden="1" customHeight="1" x14ac:dyDescent="0.2">
      <c r="A229" s="8">
        <v>57</v>
      </c>
      <c r="B229" s="161"/>
      <c r="C229" s="161"/>
      <c r="D229" s="451"/>
      <c r="E229" s="451"/>
      <c r="F229" s="451"/>
      <c r="G229" s="451"/>
      <c r="H229" s="161"/>
      <c r="I229" s="452"/>
      <c r="J229" s="20" t="str">
        <f>IFERROR(VLOOKUP($Q229,FeeLookup!$J$5:$L$33,2,FALSE),"")</f>
        <v/>
      </c>
      <c r="K229" s="20" t="str">
        <f>IFERROR(VLOOKUP($Q229,FeeLookup!$J$5:$L$33,3,FALSE),"")</f>
        <v/>
      </c>
      <c r="L229" s="413"/>
      <c r="M229" s="414"/>
      <c r="N229" s="5"/>
      <c r="O229" s="12" t="e">
        <f>RIGHT(#REF!,LEN(#REF!)-20)</f>
        <v>#REF!</v>
      </c>
      <c r="P229" s="12" t="str">
        <f t="shared" si="56"/>
        <v/>
      </c>
      <c r="Q229" s="13" t="e">
        <f t="shared" si="52"/>
        <v>#REF!</v>
      </c>
      <c r="R229" s="13" t="e">
        <f>IF(#REF!="","",IF(#REF!="","0",#REF!))</f>
        <v>#REF!</v>
      </c>
      <c r="S229" s="12" t="e">
        <f>IF(OR(#REF!="",J229=""),"",IF(OR((R229-#REF!)&gt;0,(I229-J229)&gt;0),"YES","NO"))</f>
        <v>#REF!</v>
      </c>
      <c r="T229" s="12" t="str">
        <f t="shared" si="53"/>
        <v/>
      </c>
      <c r="U229" s="12" t="str">
        <f t="shared" si="57"/>
        <v>YES</v>
      </c>
      <c r="V229" s="14" t="e">
        <f>IF(U229="NO","",IF(AND((COUNTBLANK(B229:B229)=0),OR(COUNTBLANK(I229)=0,COUNTBLANK(#REF!)=0),OR(COUNTBLANK(D229:G229)&lt;&gt;4,COUNTBLANK(#REF!)=0)),"YES","NO"))</f>
        <v>#REF!</v>
      </c>
      <c r="W229" s="14" t="e">
        <f>IF(U229="NO","",IF(SUM(#REF!,D229:G229)&gt;0,"YES","NO"))</f>
        <v>#REF!</v>
      </c>
      <c r="X229" s="14" t="e">
        <f>IF(OR(V229="NO",W229="NO",T229="AHFC",#REF!="AHFC"),"FLAG","")</f>
        <v>#REF!</v>
      </c>
      <c r="Y229" s="15" t="e">
        <f t="shared" si="55"/>
        <v>#REF!</v>
      </c>
    </row>
    <row r="230" spans="1:25" ht="12.75" hidden="1" customHeight="1" x14ac:dyDescent="0.2">
      <c r="A230" s="16">
        <v>58</v>
      </c>
      <c r="B230" s="422"/>
      <c r="C230" s="422"/>
      <c r="D230" s="453"/>
      <c r="E230" s="453"/>
      <c r="F230" s="453"/>
      <c r="G230" s="453"/>
      <c r="H230" s="422"/>
      <c r="I230" s="454"/>
      <c r="J230" s="11" t="str">
        <f>IFERROR(VLOOKUP($Q230,FeeLookup!$J$5:$L$33,2,FALSE),"")</f>
        <v/>
      </c>
      <c r="K230" s="11" t="str">
        <f>IFERROR(VLOOKUP($Q230,FeeLookup!$J$5:$L$33,3,FALSE),"")</f>
        <v/>
      </c>
      <c r="L230" s="413"/>
      <c r="M230" s="414"/>
      <c r="N230" s="5"/>
      <c r="O230" s="12" t="e">
        <f>RIGHT(#REF!,LEN(#REF!)-20)</f>
        <v>#REF!</v>
      </c>
      <c r="P230" s="12" t="str">
        <f t="shared" si="56"/>
        <v/>
      </c>
      <c r="Q230" s="13" t="e">
        <f t="shared" si="52"/>
        <v>#REF!</v>
      </c>
      <c r="R230" s="13" t="e">
        <f>IF(#REF!="","",IF(#REF!="","0",#REF!))</f>
        <v>#REF!</v>
      </c>
      <c r="S230" s="12" t="e">
        <f>IF(OR(#REF!="",J230=""),"",IF(OR((R230-#REF!)&gt;0,(I230-J230)&gt;0),"YES","NO"))</f>
        <v>#REF!</v>
      </c>
      <c r="T230" s="12" t="str">
        <f t="shared" si="53"/>
        <v/>
      </c>
      <c r="U230" s="12" t="str">
        <f t="shared" si="57"/>
        <v>YES</v>
      </c>
      <c r="V230" s="14" t="e">
        <f>IF(U230="NO","",IF(AND((COUNTBLANK(B230:B230)=0),OR(COUNTBLANK(I230)=0,COUNTBLANK(#REF!)=0),OR(COUNTBLANK(D230:G230)&lt;&gt;4,COUNTBLANK(#REF!)=0)),"YES","NO"))</f>
        <v>#REF!</v>
      </c>
      <c r="W230" s="14" t="e">
        <f>IF(U230="NO","",IF(SUM(#REF!,D230:G230)&gt;0,"YES","NO"))</f>
        <v>#REF!</v>
      </c>
      <c r="X230" s="14" t="e">
        <f>IF(OR(V230="NO",W230="NO",T230="AHFC",#REF!="AHFC"),"FLAG","")</f>
        <v>#REF!</v>
      </c>
      <c r="Y230" s="15" t="e">
        <f t="shared" si="55"/>
        <v>#REF!</v>
      </c>
    </row>
    <row r="231" spans="1:25" ht="12.75" hidden="1" customHeight="1" x14ac:dyDescent="0.2">
      <c r="A231" s="16">
        <v>59</v>
      </c>
      <c r="B231" s="422"/>
      <c r="C231" s="422"/>
      <c r="D231" s="453"/>
      <c r="E231" s="453"/>
      <c r="F231" s="453"/>
      <c r="G231" s="453"/>
      <c r="H231" s="422"/>
      <c r="I231" s="454"/>
      <c r="J231" s="11" t="str">
        <f>IFERROR(VLOOKUP($Q231,FeeLookup!$J$5:$L$33,2,FALSE),"")</f>
        <v/>
      </c>
      <c r="K231" s="11" t="str">
        <f>IFERROR(VLOOKUP($Q231,FeeLookup!$J$5:$L$33,3,FALSE),"")</f>
        <v/>
      </c>
      <c r="L231" s="413"/>
      <c r="M231" s="414"/>
      <c r="N231" s="5"/>
      <c r="O231" s="12" t="e">
        <f>RIGHT(#REF!,LEN(#REF!)-20)</f>
        <v>#REF!</v>
      </c>
      <c r="P231" s="12" t="str">
        <f t="shared" si="56"/>
        <v/>
      </c>
      <c r="Q231" s="13" t="e">
        <f t="shared" si="52"/>
        <v>#REF!</v>
      </c>
      <c r="R231" s="13" t="e">
        <f>IF(#REF!="","",IF(#REF!="","0",#REF!))</f>
        <v>#REF!</v>
      </c>
      <c r="S231" s="12" t="e">
        <f>IF(OR(#REF!="",J231=""),"",IF(OR((R231-#REF!)&gt;0,(I231-J231)&gt;0),"YES","NO"))</f>
        <v>#REF!</v>
      </c>
      <c r="T231" s="12" t="str">
        <f t="shared" si="53"/>
        <v/>
      </c>
      <c r="U231" s="12" t="str">
        <f t="shared" si="57"/>
        <v>YES</v>
      </c>
      <c r="V231" s="14" t="e">
        <f>IF(U231="NO","",IF(AND((COUNTBLANK(B231:B231)=0),OR(COUNTBLANK(I231)=0,COUNTBLANK(#REF!)=0),OR(COUNTBLANK(D231:G231)&lt;&gt;4,COUNTBLANK(#REF!)=0)),"YES","NO"))</f>
        <v>#REF!</v>
      </c>
      <c r="W231" s="14" t="e">
        <f>IF(U231="NO","",IF(SUM(#REF!,D231:G231)&gt;0,"YES","NO"))</f>
        <v>#REF!</v>
      </c>
      <c r="X231" s="14" t="e">
        <f>IF(OR(V231="NO",W231="NO",T231="AHFC",#REF!="AHFC"),"FLAG","")</f>
        <v>#REF!</v>
      </c>
      <c r="Y231" s="15" t="e">
        <f t="shared" si="55"/>
        <v>#REF!</v>
      </c>
    </row>
    <row r="232" spans="1:25" ht="12.75" hidden="1" customHeight="1" x14ac:dyDescent="0.2">
      <c r="A232" s="16">
        <v>60</v>
      </c>
      <c r="B232" s="422"/>
      <c r="C232" s="422"/>
      <c r="D232" s="453"/>
      <c r="E232" s="453"/>
      <c r="F232" s="453"/>
      <c r="G232" s="453"/>
      <c r="H232" s="422"/>
      <c r="I232" s="454"/>
      <c r="J232" s="19" t="str">
        <f>IFERROR(VLOOKUP($Q232,FeeLookup!$J$5:$L$33,2,FALSE),"")</f>
        <v/>
      </c>
      <c r="K232" s="19" t="str">
        <f>IFERROR(VLOOKUP($Q232,FeeLookup!$J$5:$L$33,3,FALSE),"")</f>
        <v/>
      </c>
      <c r="L232" s="413"/>
      <c r="M232" s="414"/>
      <c r="N232" s="5"/>
      <c r="O232" s="12" t="e">
        <f>RIGHT(#REF!,LEN(#REF!)-20)</f>
        <v>#REF!</v>
      </c>
      <c r="P232" s="12" t="str">
        <f t="shared" si="56"/>
        <v/>
      </c>
      <c r="Q232" s="13" t="e">
        <f t="shared" si="52"/>
        <v>#REF!</v>
      </c>
      <c r="R232" s="13" t="e">
        <f>IF(#REF!="","",IF(#REF!="","0",#REF!))</f>
        <v>#REF!</v>
      </c>
      <c r="S232" s="12" t="e">
        <f>IF(OR(#REF!="",J232=""),"",IF(OR((R232-#REF!)&gt;0,(I232-J232)&gt;0),"YES","NO"))</f>
        <v>#REF!</v>
      </c>
      <c r="T232" s="12" t="str">
        <f t="shared" si="53"/>
        <v/>
      </c>
      <c r="U232" s="12" t="str">
        <f t="shared" si="57"/>
        <v>YES</v>
      </c>
      <c r="V232" s="14" t="e">
        <f>IF(U232="NO","",IF(AND((COUNTBLANK(B232:B232)=0),OR(COUNTBLANK(I232)=0,COUNTBLANK(#REF!)=0),OR(COUNTBLANK(D232:G232)&lt;&gt;4,COUNTBLANK(#REF!)=0)),"YES","NO"))</f>
        <v>#REF!</v>
      </c>
      <c r="W232" s="14" t="e">
        <f>IF(U232="NO","",IF(SUM(#REF!,D232:G232)&gt;0,"YES","NO"))</f>
        <v>#REF!</v>
      </c>
      <c r="X232" s="14" t="e">
        <f>IF(OR(V232="NO",W232="NO",T232="AHFC",#REF!="AHFC"),"FLAG","")</f>
        <v>#REF!</v>
      </c>
      <c r="Y232" s="15" t="e">
        <f t="shared" si="55"/>
        <v>#REF!</v>
      </c>
    </row>
    <row r="233" spans="1:25" ht="12.75" hidden="1" customHeight="1" x14ac:dyDescent="0.2">
      <c r="A233" s="8">
        <v>61</v>
      </c>
      <c r="B233" s="161"/>
      <c r="C233" s="161"/>
      <c r="D233" s="451"/>
      <c r="E233" s="451"/>
      <c r="F233" s="451"/>
      <c r="G233" s="451"/>
      <c r="H233" s="161"/>
      <c r="I233" s="452"/>
      <c r="J233" s="20" t="str">
        <f>IFERROR(VLOOKUP($Q233,FeeLookup!$J$5:$L$33,2,FALSE),"")</f>
        <v/>
      </c>
      <c r="K233" s="20" t="str">
        <f>IFERROR(VLOOKUP($Q233,FeeLookup!$J$5:$L$33,3,FALSE),"")</f>
        <v/>
      </c>
      <c r="L233" s="413"/>
      <c r="M233" s="414"/>
      <c r="N233" s="5"/>
      <c r="O233" s="12" t="e">
        <f>RIGHT(#REF!,LEN(#REF!)-20)</f>
        <v>#REF!</v>
      </c>
      <c r="P233" s="12" t="str">
        <f t="shared" si="56"/>
        <v/>
      </c>
      <c r="Q233" s="13" t="e">
        <f t="shared" si="52"/>
        <v>#REF!</v>
      </c>
      <c r="R233" s="13" t="e">
        <f>IF(#REF!="","",IF(#REF!="","0",#REF!))</f>
        <v>#REF!</v>
      </c>
      <c r="S233" s="12" t="e">
        <f>IF(OR(#REF!="",J233=""),"",IF(OR((R233-#REF!)&gt;0,(I233-J233)&gt;0),"YES","NO"))</f>
        <v>#REF!</v>
      </c>
      <c r="T233" s="12" t="str">
        <f t="shared" si="53"/>
        <v/>
      </c>
      <c r="U233" s="12" t="str">
        <f t="shared" si="57"/>
        <v>YES</v>
      </c>
      <c r="V233" s="14" t="e">
        <f>IF(U233="NO","",IF(AND((COUNTBLANK(B233:B233)=0),OR(COUNTBLANK(I233)=0,COUNTBLANK(#REF!)=0),OR(COUNTBLANK(D233:G233)&lt;&gt;4,COUNTBLANK(#REF!)=0)),"YES","NO"))</f>
        <v>#REF!</v>
      </c>
      <c r="W233" s="14" t="e">
        <f>IF(U233="NO","",IF(SUM(#REF!,D233:G233)&gt;0,"YES","NO"))</f>
        <v>#REF!</v>
      </c>
      <c r="X233" s="14" t="e">
        <f>IF(OR(V233="NO",W233="NO",T233="AHFC",#REF!="AHFC"),"FLAG","")</f>
        <v>#REF!</v>
      </c>
      <c r="Y233" s="15" t="e">
        <f t="shared" si="55"/>
        <v>#REF!</v>
      </c>
    </row>
    <row r="234" spans="1:25" ht="12.75" hidden="1" customHeight="1" x14ac:dyDescent="0.2">
      <c r="A234" s="16">
        <v>62</v>
      </c>
      <c r="B234" s="422"/>
      <c r="C234" s="422"/>
      <c r="D234" s="453"/>
      <c r="E234" s="453"/>
      <c r="F234" s="453"/>
      <c r="G234" s="453"/>
      <c r="H234" s="422"/>
      <c r="I234" s="454"/>
      <c r="J234" s="11" t="str">
        <f>IFERROR(VLOOKUP($Q234,FeeLookup!$J$5:$L$33,2,FALSE),"")</f>
        <v/>
      </c>
      <c r="K234" s="11" t="str">
        <f>IFERROR(VLOOKUP($Q234,FeeLookup!$J$5:$L$33,3,FALSE),"")</f>
        <v/>
      </c>
      <c r="L234" s="413"/>
      <c r="M234" s="414"/>
      <c r="N234" s="5"/>
      <c r="O234" s="12" t="e">
        <f>RIGHT(#REF!,LEN(#REF!)-20)</f>
        <v>#REF!</v>
      </c>
      <c r="P234" s="12" t="str">
        <f t="shared" si="56"/>
        <v/>
      </c>
      <c r="Q234" s="13" t="e">
        <f t="shared" si="52"/>
        <v>#REF!</v>
      </c>
      <c r="R234" s="13" t="e">
        <f>IF(#REF!="","",IF(#REF!="","0",#REF!))</f>
        <v>#REF!</v>
      </c>
      <c r="S234" s="12" t="e">
        <f>IF(OR(#REF!="",J234=""),"",IF(OR((R234-#REF!)&gt;0,(I234-J234)&gt;0),"YES","NO"))</f>
        <v>#REF!</v>
      </c>
      <c r="T234" s="12" t="str">
        <f t="shared" si="53"/>
        <v/>
      </c>
      <c r="U234" s="12" t="str">
        <f t="shared" si="57"/>
        <v>YES</v>
      </c>
      <c r="V234" s="14" t="e">
        <f>IF(U234="NO","",IF(AND((COUNTBLANK(B234:B234)=0),OR(COUNTBLANK(I234)=0,COUNTBLANK(#REF!)=0),OR(COUNTBLANK(D234:G234)&lt;&gt;4,COUNTBLANK(#REF!)=0)),"YES","NO"))</f>
        <v>#REF!</v>
      </c>
      <c r="W234" s="14" t="e">
        <f>IF(U234="NO","",IF(SUM(#REF!,D234:G234)&gt;0,"YES","NO"))</f>
        <v>#REF!</v>
      </c>
      <c r="X234" s="14" t="e">
        <f>IF(OR(V234="NO",W234="NO",T234="AHFC",#REF!="AHFC"),"FLAG","")</f>
        <v>#REF!</v>
      </c>
      <c r="Y234" s="15" t="e">
        <f t="shared" si="55"/>
        <v>#REF!</v>
      </c>
    </row>
    <row r="235" spans="1:25" ht="12.75" hidden="1" customHeight="1" x14ac:dyDescent="0.2">
      <c r="A235" s="16">
        <v>63</v>
      </c>
      <c r="B235" s="422"/>
      <c r="C235" s="422"/>
      <c r="D235" s="453"/>
      <c r="E235" s="453"/>
      <c r="F235" s="453"/>
      <c r="G235" s="453"/>
      <c r="H235" s="422"/>
      <c r="I235" s="454"/>
      <c r="J235" s="11" t="str">
        <f>IFERROR(VLOOKUP($Q235,FeeLookup!$J$5:$L$33,2,FALSE),"")</f>
        <v/>
      </c>
      <c r="K235" s="11" t="str">
        <f>IFERROR(VLOOKUP($Q235,FeeLookup!$J$5:$L$33,3,FALSE),"")</f>
        <v/>
      </c>
      <c r="L235" s="413"/>
      <c r="M235" s="414"/>
      <c r="N235" s="5"/>
      <c r="O235" s="12" t="e">
        <f>RIGHT(#REF!,LEN(#REF!)-20)</f>
        <v>#REF!</v>
      </c>
      <c r="P235" s="12" t="str">
        <f t="shared" si="56"/>
        <v/>
      </c>
      <c r="Q235" s="13" t="e">
        <f t="shared" si="52"/>
        <v>#REF!</v>
      </c>
      <c r="R235" s="13" t="e">
        <f>IF(#REF!="","",IF(#REF!="","0",#REF!))</f>
        <v>#REF!</v>
      </c>
      <c r="S235" s="12" t="e">
        <f>IF(OR(#REF!="",J235=""),"",IF(OR((R235-#REF!)&gt;0,(I235-J235)&gt;0),"YES","NO"))</f>
        <v>#REF!</v>
      </c>
      <c r="T235" s="12" t="str">
        <f t="shared" si="53"/>
        <v/>
      </c>
      <c r="U235" s="12" t="str">
        <f t="shared" si="57"/>
        <v>YES</v>
      </c>
      <c r="V235" s="14" t="e">
        <f>IF(U235="NO","",IF(AND((COUNTBLANK(B235:B235)=0),OR(COUNTBLANK(I235)=0,COUNTBLANK(#REF!)=0),OR(COUNTBLANK(D235:G235)&lt;&gt;4,COUNTBLANK(#REF!)=0)),"YES","NO"))</f>
        <v>#REF!</v>
      </c>
      <c r="W235" s="14" t="e">
        <f>IF(U235="NO","",IF(SUM(#REF!,D235:G235)&gt;0,"YES","NO"))</f>
        <v>#REF!</v>
      </c>
      <c r="X235" s="14" t="e">
        <f>IF(OR(V235="NO",W235="NO",T235="AHFC",#REF!="AHFC"),"FLAG","")</f>
        <v>#REF!</v>
      </c>
      <c r="Y235" s="15" t="e">
        <f t="shared" si="55"/>
        <v>#REF!</v>
      </c>
    </row>
    <row r="236" spans="1:25" ht="12.75" hidden="1" customHeight="1" x14ac:dyDescent="0.2">
      <c r="A236" s="16">
        <v>64</v>
      </c>
      <c r="B236" s="422"/>
      <c r="C236" s="422"/>
      <c r="D236" s="453"/>
      <c r="E236" s="453"/>
      <c r="F236" s="453"/>
      <c r="G236" s="453"/>
      <c r="H236" s="422"/>
      <c r="I236" s="454"/>
      <c r="J236" s="19" t="str">
        <f>IFERROR(VLOOKUP($Q236,FeeLookup!$J$5:$L$33,2,FALSE),"")</f>
        <v/>
      </c>
      <c r="K236" s="19" t="str">
        <f>IFERROR(VLOOKUP($Q236,FeeLookup!$J$5:$L$33,3,FALSE),"")</f>
        <v/>
      </c>
      <c r="L236" s="413"/>
      <c r="M236" s="414"/>
      <c r="N236" s="5"/>
      <c r="O236" s="12" t="e">
        <f>RIGHT(#REF!,LEN(#REF!)-20)</f>
        <v>#REF!</v>
      </c>
      <c r="P236" s="12" t="str">
        <f t="shared" si="56"/>
        <v/>
      </c>
      <c r="Q236" s="13" t="e">
        <f t="shared" si="52"/>
        <v>#REF!</v>
      </c>
      <c r="R236" s="13" t="e">
        <f>IF(#REF!="","",IF(#REF!="","0",#REF!))</f>
        <v>#REF!</v>
      </c>
      <c r="S236" s="12" t="e">
        <f>IF(OR(#REF!="",J236=""),"",IF(OR((R236-#REF!)&gt;0,(I236-J236)&gt;0),"YES","NO"))</f>
        <v>#REF!</v>
      </c>
      <c r="T236" s="12" t="str">
        <f t="shared" si="53"/>
        <v/>
      </c>
      <c r="U236" s="12" t="str">
        <f t="shared" si="57"/>
        <v>YES</v>
      </c>
      <c r="V236" s="14" t="e">
        <f>IF(U236="NO","",IF(AND((COUNTBLANK(B236:B236)=0),OR(COUNTBLANK(I236)=0,COUNTBLANK(#REF!)=0),OR(COUNTBLANK(D236:G236)&lt;&gt;4,COUNTBLANK(#REF!)=0)),"YES","NO"))</f>
        <v>#REF!</v>
      </c>
      <c r="W236" s="14" t="e">
        <f>IF(U236="NO","",IF(SUM(#REF!,D236:G236)&gt;0,"YES","NO"))</f>
        <v>#REF!</v>
      </c>
      <c r="X236" s="14" t="e">
        <f>IF(OR(V236="NO",W236="NO",T236="AHFC",#REF!="AHFC"),"FLAG","")</f>
        <v>#REF!</v>
      </c>
      <c r="Y236" s="15" t="e">
        <f t="shared" si="55"/>
        <v>#REF!</v>
      </c>
    </row>
    <row r="237" spans="1:25" ht="12.75" hidden="1" customHeight="1" x14ac:dyDescent="0.2">
      <c r="A237" s="8">
        <v>65</v>
      </c>
      <c r="B237" s="161"/>
      <c r="C237" s="161"/>
      <c r="D237" s="451"/>
      <c r="E237" s="451"/>
      <c r="F237" s="451"/>
      <c r="G237" s="451"/>
      <c r="H237" s="161"/>
      <c r="I237" s="452"/>
      <c r="J237" s="20" t="str">
        <f>IFERROR(VLOOKUP($Q237,FeeLookup!$J$5:$L$33,2,FALSE),"")</f>
        <v/>
      </c>
      <c r="K237" s="20" t="str">
        <f>IFERROR(VLOOKUP($Q237,FeeLookup!$J$5:$L$33,3,FALSE),"")</f>
        <v/>
      </c>
      <c r="L237" s="413"/>
      <c r="M237" s="414"/>
      <c r="N237" s="5"/>
      <c r="O237" s="12" t="e">
        <f>RIGHT(#REF!,LEN(#REF!)-20)</f>
        <v>#REF!</v>
      </c>
      <c r="P237" s="12" t="str">
        <f t="shared" ref="P237:P268" si="58">IF(B237="","",IF(B237="Erasmus and overseas study years","LOWER",IF(B237="Sandwich course","SAND","FULL")))</f>
        <v/>
      </c>
      <c r="Q237" s="13" t="e">
        <f t="shared" ref="Q237:Q300" si="59">CONCATENATE(P237,IF(O237="No TEF","_NO_TEF_",IF(O237="TEF2","_TEF2_","")))</f>
        <v>#REF!</v>
      </c>
      <c r="R237" s="13" t="e">
        <f>IF(#REF!="","",IF(#REF!="","0",#REF!))</f>
        <v>#REF!</v>
      </c>
      <c r="S237" s="12" t="e">
        <f>IF(OR(#REF!="",J237=""),"",IF(OR((R237-#REF!)&gt;0,(I237-J237)&gt;0),"YES","NO"))</f>
        <v>#REF!</v>
      </c>
      <c r="T237" s="12" t="str">
        <f t="shared" ref="T237:T300" si="60">IF(I237="","",IF(I237&lt;J237,"BBFC",IF(I237&gt;K237,"AHFC","BBHFC")))</f>
        <v/>
      </c>
      <c r="U237" s="12" t="str">
        <f t="shared" ref="U237:U268" si="61">IF(COUNTBLANK(B237:I237)=12,"NO","YES")</f>
        <v>YES</v>
      </c>
      <c r="V237" s="14" t="e">
        <f>IF(U237="NO","",IF(AND((COUNTBLANK(B237:B237)=0),OR(COUNTBLANK(I237)=0,COUNTBLANK(#REF!)=0),OR(COUNTBLANK(D237:G237)&lt;&gt;4,COUNTBLANK(#REF!)=0)),"YES","NO"))</f>
        <v>#REF!</v>
      </c>
      <c r="W237" s="14" t="e">
        <f>IF(U237="NO","",IF(SUM(#REF!,D237:G237)&gt;0,"YES","NO"))</f>
        <v>#REF!</v>
      </c>
      <c r="X237" s="14" t="e">
        <f>IF(OR(V237="NO",W237="NO",T237="AHFC",#REF!="AHFC"),"FLAG","")</f>
        <v>#REF!</v>
      </c>
      <c r="Y237" s="15" t="e">
        <f t="shared" ref="Y237:Y300" si="62">IF(OR(I237="",V237=""),"",IF(I237-J237&lt;0,0,I237-J237))</f>
        <v>#REF!</v>
      </c>
    </row>
    <row r="238" spans="1:25" ht="12.75" hidden="1" customHeight="1" x14ac:dyDescent="0.2">
      <c r="A238" s="16">
        <v>66</v>
      </c>
      <c r="B238" s="422"/>
      <c r="C238" s="422"/>
      <c r="D238" s="453"/>
      <c r="E238" s="453"/>
      <c r="F238" s="453"/>
      <c r="G238" s="453"/>
      <c r="H238" s="422"/>
      <c r="I238" s="454"/>
      <c r="J238" s="11" t="str">
        <f>IFERROR(VLOOKUP($Q238,FeeLookup!$J$5:$L$33,2,FALSE),"")</f>
        <v/>
      </c>
      <c r="K238" s="11" t="str">
        <f>IFERROR(VLOOKUP($Q238,FeeLookup!$J$5:$L$33,3,FALSE),"")</f>
        <v/>
      </c>
      <c r="L238" s="413"/>
      <c r="M238" s="414"/>
      <c r="N238" s="5"/>
      <c r="O238" s="12" t="e">
        <f>RIGHT(#REF!,LEN(#REF!)-20)</f>
        <v>#REF!</v>
      </c>
      <c r="P238" s="12" t="str">
        <f t="shared" si="58"/>
        <v/>
      </c>
      <c r="Q238" s="13" t="e">
        <f t="shared" si="59"/>
        <v>#REF!</v>
      </c>
      <c r="R238" s="13" t="e">
        <f>IF(#REF!="","",IF(#REF!="","0",#REF!))</f>
        <v>#REF!</v>
      </c>
      <c r="S238" s="12" t="e">
        <f>IF(OR(#REF!="",J238=""),"",IF(OR((R238-#REF!)&gt;0,(I238-J238)&gt;0),"YES","NO"))</f>
        <v>#REF!</v>
      </c>
      <c r="T238" s="12" t="str">
        <f t="shared" si="60"/>
        <v/>
      </c>
      <c r="U238" s="12" t="str">
        <f t="shared" si="61"/>
        <v>YES</v>
      </c>
      <c r="V238" s="14" t="e">
        <f>IF(U238="NO","",IF(AND((COUNTBLANK(B238:B238)=0),OR(COUNTBLANK(I238)=0,COUNTBLANK(#REF!)=0),OR(COUNTBLANK(D238:G238)&lt;&gt;4,COUNTBLANK(#REF!)=0)),"YES","NO"))</f>
        <v>#REF!</v>
      </c>
      <c r="W238" s="14" t="e">
        <f>IF(U238="NO","",IF(SUM(#REF!,D238:G238)&gt;0,"YES","NO"))</f>
        <v>#REF!</v>
      </c>
      <c r="X238" s="14" t="e">
        <f>IF(OR(V238="NO",W238="NO",T238="AHFC",#REF!="AHFC"),"FLAG","")</f>
        <v>#REF!</v>
      </c>
      <c r="Y238" s="15" t="e">
        <f t="shared" si="62"/>
        <v>#REF!</v>
      </c>
    </row>
    <row r="239" spans="1:25" ht="12.75" hidden="1" customHeight="1" x14ac:dyDescent="0.2">
      <c r="A239" s="16">
        <v>67</v>
      </c>
      <c r="B239" s="422"/>
      <c r="C239" s="422"/>
      <c r="D239" s="453"/>
      <c r="E239" s="453"/>
      <c r="F239" s="453"/>
      <c r="G239" s="453"/>
      <c r="H239" s="422"/>
      <c r="I239" s="454"/>
      <c r="J239" s="11" t="str">
        <f>IFERROR(VLOOKUP($Q239,FeeLookup!$J$5:$L$33,2,FALSE),"")</f>
        <v/>
      </c>
      <c r="K239" s="11" t="str">
        <f>IFERROR(VLOOKUP($Q239,FeeLookup!$J$5:$L$33,3,FALSE),"")</f>
        <v/>
      </c>
      <c r="L239" s="413"/>
      <c r="M239" s="414"/>
      <c r="N239" s="5"/>
      <c r="O239" s="12" t="e">
        <f>RIGHT(#REF!,LEN(#REF!)-20)</f>
        <v>#REF!</v>
      </c>
      <c r="P239" s="12" t="str">
        <f t="shared" si="58"/>
        <v/>
      </c>
      <c r="Q239" s="13" t="e">
        <f t="shared" si="59"/>
        <v>#REF!</v>
      </c>
      <c r="R239" s="13" t="e">
        <f>IF(#REF!="","",IF(#REF!="","0",#REF!))</f>
        <v>#REF!</v>
      </c>
      <c r="S239" s="12" t="e">
        <f>IF(OR(#REF!="",J239=""),"",IF(OR((R239-#REF!)&gt;0,(I239-J239)&gt;0),"YES","NO"))</f>
        <v>#REF!</v>
      </c>
      <c r="T239" s="12" t="str">
        <f t="shared" si="60"/>
        <v/>
      </c>
      <c r="U239" s="12" t="str">
        <f t="shared" si="61"/>
        <v>YES</v>
      </c>
      <c r="V239" s="14" t="e">
        <f>IF(U239="NO","",IF(AND((COUNTBLANK(B239:B239)=0),OR(COUNTBLANK(I239)=0,COUNTBLANK(#REF!)=0),OR(COUNTBLANK(D239:G239)&lt;&gt;4,COUNTBLANK(#REF!)=0)),"YES","NO"))</f>
        <v>#REF!</v>
      </c>
      <c r="W239" s="14" t="e">
        <f>IF(U239="NO","",IF(SUM(#REF!,D239:G239)&gt;0,"YES","NO"))</f>
        <v>#REF!</v>
      </c>
      <c r="X239" s="14" t="e">
        <f>IF(OR(V239="NO",W239="NO",T239="AHFC",#REF!="AHFC"),"FLAG","")</f>
        <v>#REF!</v>
      </c>
      <c r="Y239" s="15" t="e">
        <f t="shared" si="62"/>
        <v>#REF!</v>
      </c>
    </row>
    <row r="240" spans="1:25" ht="12.75" hidden="1" customHeight="1" x14ac:dyDescent="0.2">
      <c r="A240" s="16">
        <v>68</v>
      </c>
      <c r="B240" s="422"/>
      <c r="C240" s="422"/>
      <c r="D240" s="453"/>
      <c r="E240" s="453"/>
      <c r="F240" s="453"/>
      <c r="G240" s="453"/>
      <c r="H240" s="422"/>
      <c r="I240" s="454"/>
      <c r="J240" s="19" t="str">
        <f>IFERROR(VLOOKUP($Q240,FeeLookup!$J$5:$L$33,2,FALSE),"")</f>
        <v/>
      </c>
      <c r="K240" s="19" t="str">
        <f>IFERROR(VLOOKUP($Q240,FeeLookup!$J$5:$L$33,3,FALSE),"")</f>
        <v/>
      </c>
      <c r="L240" s="413"/>
      <c r="M240" s="414"/>
      <c r="N240" s="5"/>
      <c r="O240" s="12" t="e">
        <f>RIGHT(#REF!,LEN(#REF!)-20)</f>
        <v>#REF!</v>
      </c>
      <c r="P240" s="12" t="str">
        <f t="shared" si="58"/>
        <v/>
      </c>
      <c r="Q240" s="13" t="e">
        <f t="shared" si="59"/>
        <v>#REF!</v>
      </c>
      <c r="R240" s="13" t="e">
        <f>IF(#REF!="","",IF(#REF!="","0",#REF!))</f>
        <v>#REF!</v>
      </c>
      <c r="S240" s="12" t="e">
        <f>IF(OR(#REF!="",J240=""),"",IF(OR((R240-#REF!)&gt;0,(I240-J240)&gt;0),"YES","NO"))</f>
        <v>#REF!</v>
      </c>
      <c r="T240" s="12" t="str">
        <f t="shared" si="60"/>
        <v/>
      </c>
      <c r="U240" s="12" t="str">
        <f t="shared" si="61"/>
        <v>YES</v>
      </c>
      <c r="V240" s="14" t="e">
        <f>IF(U240="NO","",IF(AND((COUNTBLANK(B240:B240)=0),OR(COUNTBLANK(I240)=0,COUNTBLANK(#REF!)=0),OR(COUNTBLANK(D240:G240)&lt;&gt;4,COUNTBLANK(#REF!)=0)),"YES","NO"))</f>
        <v>#REF!</v>
      </c>
      <c r="W240" s="14" t="e">
        <f>IF(U240="NO","",IF(SUM(#REF!,D240:G240)&gt;0,"YES","NO"))</f>
        <v>#REF!</v>
      </c>
      <c r="X240" s="14" t="e">
        <f>IF(OR(V240="NO",W240="NO",T240="AHFC",#REF!="AHFC"),"FLAG","")</f>
        <v>#REF!</v>
      </c>
      <c r="Y240" s="15" t="e">
        <f t="shared" si="62"/>
        <v>#REF!</v>
      </c>
    </row>
    <row r="241" spans="1:25" ht="12.75" hidden="1" customHeight="1" x14ac:dyDescent="0.2">
      <c r="A241" s="8">
        <v>69</v>
      </c>
      <c r="B241" s="161"/>
      <c r="C241" s="161"/>
      <c r="D241" s="451"/>
      <c r="E241" s="451"/>
      <c r="F241" s="451"/>
      <c r="G241" s="451"/>
      <c r="H241" s="161"/>
      <c r="I241" s="452"/>
      <c r="J241" s="20" t="str">
        <f>IFERROR(VLOOKUP($Q241,FeeLookup!$J$5:$L$33,2,FALSE),"")</f>
        <v/>
      </c>
      <c r="K241" s="20" t="str">
        <f>IFERROR(VLOOKUP($Q241,FeeLookup!$J$5:$L$33,3,FALSE),"")</f>
        <v/>
      </c>
      <c r="L241" s="413"/>
      <c r="M241" s="414"/>
      <c r="N241" s="5"/>
      <c r="O241" s="12" t="e">
        <f>RIGHT(#REF!,LEN(#REF!)-20)</f>
        <v>#REF!</v>
      </c>
      <c r="P241" s="12" t="str">
        <f t="shared" si="58"/>
        <v/>
      </c>
      <c r="Q241" s="13" t="e">
        <f t="shared" si="59"/>
        <v>#REF!</v>
      </c>
      <c r="R241" s="13" t="e">
        <f>IF(#REF!="","",IF(#REF!="","0",#REF!))</f>
        <v>#REF!</v>
      </c>
      <c r="S241" s="12" t="e">
        <f>IF(OR(#REF!="",J241=""),"",IF(OR((R241-#REF!)&gt;0,(I241-J241)&gt;0),"YES","NO"))</f>
        <v>#REF!</v>
      </c>
      <c r="T241" s="12" t="str">
        <f t="shared" si="60"/>
        <v/>
      </c>
      <c r="U241" s="12" t="str">
        <f t="shared" si="61"/>
        <v>YES</v>
      </c>
      <c r="V241" s="14" t="e">
        <f>IF(U241="NO","",IF(AND((COUNTBLANK(B241:B241)=0),OR(COUNTBLANK(I241)=0,COUNTBLANK(#REF!)=0),OR(COUNTBLANK(D241:G241)&lt;&gt;4,COUNTBLANK(#REF!)=0)),"YES","NO"))</f>
        <v>#REF!</v>
      </c>
      <c r="W241" s="14" t="e">
        <f>IF(U241="NO","",IF(SUM(#REF!,D241:G241)&gt;0,"YES","NO"))</f>
        <v>#REF!</v>
      </c>
      <c r="X241" s="14" t="e">
        <f>IF(OR(V241="NO",W241="NO",T241="AHFC",#REF!="AHFC"),"FLAG","")</f>
        <v>#REF!</v>
      </c>
      <c r="Y241" s="15" t="e">
        <f t="shared" si="62"/>
        <v>#REF!</v>
      </c>
    </row>
    <row r="242" spans="1:25" ht="12.75" hidden="1" customHeight="1" x14ac:dyDescent="0.2">
      <c r="A242" s="16">
        <v>70</v>
      </c>
      <c r="B242" s="422"/>
      <c r="C242" s="422"/>
      <c r="D242" s="453"/>
      <c r="E242" s="453"/>
      <c r="F242" s="453"/>
      <c r="G242" s="453"/>
      <c r="H242" s="422"/>
      <c r="I242" s="454"/>
      <c r="J242" s="11" t="str">
        <f>IFERROR(VLOOKUP($Q242,FeeLookup!$J$5:$L$33,2,FALSE),"")</f>
        <v/>
      </c>
      <c r="K242" s="11" t="str">
        <f>IFERROR(VLOOKUP($Q242,FeeLookup!$J$5:$L$33,3,FALSE),"")</f>
        <v/>
      </c>
      <c r="L242" s="413"/>
      <c r="M242" s="414"/>
      <c r="N242" s="5"/>
      <c r="O242" s="12" t="e">
        <f>RIGHT(#REF!,LEN(#REF!)-20)</f>
        <v>#REF!</v>
      </c>
      <c r="P242" s="12" t="str">
        <f t="shared" si="58"/>
        <v/>
      </c>
      <c r="Q242" s="13" t="e">
        <f t="shared" si="59"/>
        <v>#REF!</v>
      </c>
      <c r="R242" s="13" t="e">
        <f>IF(#REF!="","",IF(#REF!="","0",#REF!))</f>
        <v>#REF!</v>
      </c>
      <c r="S242" s="12" t="e">
        <f>IF(OR(#REF!="",J242=""),"",IF(OR((R242-#REF!)&gt;0,(I242-J242)&gt;0),"YES","NO"))</f>
        <v>#REF!</v>
      </c>
      <c r="T242" s="12" t="str">
        <f t="shared" si="60"/>
        <v/>
      </c>
      <c r="U242" s="12" t="str">
        <f t="shared" si="61"/>
        <v>YES</v>
      </c>
      <c r="V242" s="14" t="e">
        <f>IF(U242="NO","",IF(AND((COUNTBLANK(B242:B242)=0),OR(COUNTBLANK(I242)=0,COUNTBLANK(#REF!)=0),OR(COUNTBLANK(D242:G242)&lt;&gt;4,COUNTBLANK(#REF!)=0)),"YES","NO"))</f>
        <v>#REF!</v>
      </c>
      <c r="W242" s="14" t="e">
        <f>IF(U242="NO","",IF(SUM(#REF!,D242:G242)&gt;0,"YES","NO"))</f>
        <v>#REF!</v>
      </c>
      <c r="X242" s="14" t="e">
        <f>IF(OR(V242="NO",W242="NO",T242="AHFC",#REF!="AHFC"),"FLAG","")</f>
        <v>#REF!</v>
      </c>
      <c r="Y242" s="15" t="e">
        <f t="shared" si="62"/>
        <v>#REF!</v>
      </c>
    </row>
    <row r="243" spans="1:25" ht="12.75" hidden="1" customHeight="1" x14ac:dyDescent="0.2">
      <c r="A243" s="16">
        <v>71</v>
      </c>
      <c r="B243" s="422"/>
      <c r="C243" s="422"/>
      <c r="D243" s="453"/>
      <c r="E243" s="453"/>
      <c r="F243" s="453"/>
      <c r="G243" s="453"/>
      <c r="H243" s="422"/>
      <c r="I243" s="454"/>
      <c r="J243" s="11" t="str">
        <f>IFERROR(VLOOKUP($Q243,FeeLookup!$J$5:$L$33,2,FALSE),"")</f>
        <v/>
      </c>
      <c r="K243" s="11" t="str">
        <f>IFERROR(VLOOKUP($Q243,FeeLookup!$J$5:$L$33,3,FALSE),"")</f>
        <v/>
      </c>
      <c r="L243" s="413"/>
      <c r="M243" s="414"/>
      <c r="N243" s="5"/>
      <c r="O243" s="12" t="e">
        <f>RIGHT(#REF!,LEN(#REF!)-20)</f>
        <v>#REF!</v>
      </c>
      <c r="P243" s="12" t="str">
        <f t="shared" si="58"/>
        <v/>
      </c>
      <c r="Q243" s="13" t="e">
        <f t="shared" si="59"/>
        <v>#REF!</v>
      </c>
      <c r="R243" s="13" t="e">
        <f>IF(#REF!="","",IF(#REF!="","0",#REF!))</f>
        <v>#REF!</v>
      </c>
      <c r="S243" s="12" t="e">
        <f>IF(OR(#REF!="",J243=""),"",IF(OR((R243-#REF!)&gt;0,(I243-J243)&gt;0),"YES","NO"))</f>
        <v>#REF!</v>
      </c>
      <c r="T243" s="12" t="str">
        <f t="shared" si="60"/>
        <v/>
      </c>
      <c r="U243" s="12" t="str">
        <f t="shared" si="61"/>
        <v>YES</v>
      </c>
      <c r="V243" s="14" t="e">
        <f>IF(U243="NO","",IF(AND((COUNTBLANK(B243:B243)=0),OR(COUNTBLANK(I243)=0,COUNTBLANK(#REF!)=0),OR(COUNTBLANK(D243:G243)&lt;&gt;4,COUNTBLANK(#REF!)=0)),"YES","NO"))</f>
        <v>#REF!</v>
      </c>
      <c r="W243" s="14" t="e">
        <f>IF(U243="NO","",IF(SUM(#REF!,D243:G243)&gt;0,"YES","NO"))</f>
        <v>#REF!</v>
      </c>
      <c r="X243" s="14" t="e">
        <f>IF(OR(V243="NO",W243="NO",T243="AHFC",#REF!="AHFC"),"FLAG","")</f>
        <v>#REF!</v>
      </c>
      <c r="Y243" s="15" t="e">
        <f t="shared" si="62"/>
        <v>#REF!</v>
      </c>
    </row>
    <row r="244" spans="1:25" ht="12.75" hidden="1" customHeight="1" x14ac:dyDescent="0.2">
      <c r="A244" s="16">
        <v>72</v>
      </c>
      <c r="B244" s="422"/>
      <c r="C244" s="422"/>
      <c r="D244" s="453"/>
      <c r="E244" s="453"/>
      <c r="F244" s="453"/>
      <c r="G244" s="453"/>
      <c r="H244" s="422"/>
      <c r="I244" s="454"/>
      <c r="J244" s="19" t="str">
        <f>IFERROR(VLOOKUP($Q244,FeeLookup!$J$5:$L$33,2,FALSE),"")</f>
        <v/>
      </c>
      <c r="K244" s="19" t="str">
        <f>IFERROR(VLOOKUP($Q244,FeeLookup!$J$5:$L$33,3,FALSE),"")</f>
        <v/>
      </c>
      <c r="L244" s="413"/>
      <c r="M244" s="414"/>
      <c r="N244" s="5"/>
      <c r="O244" s="12" t="e">
        <f>RIGHT(#REF!,LEN(#REF!)-20)</f>
        <v>#REF!</v>
      </c>
      <c r="P244" s="12" t="str">
        <f t="shared" si="58"/>
        <v/>
      </c>
      <c r="Q244" s="13" t="e">
        <f t="shared" si="59"/>
        <v>#REF!</v>
      </c>
      <c r="R244" s="13" t="e">
        <f>IF(#REF!="","",IF(#REF!="","0",#REF!))</f>
        <v>#REF!</v>
      </c>
      <c r="S244" s="12" t="e">
        <f>IF(OR(#REF!="",J244=""),"",IF(OR((R244-#REF!)&gt;0,(I244-J244)&gt;0),"YES","NO"))</f>
        <v>#REF!</v>
      </c>
      <c r="T244" s="12" t="str">
        <f t="shared" si="60"/>
        <v/>
      </c>
      <c r="U244" s="12" t="str">
        <f t="shared" si="61"/>
        <v>YES</v>
      </c>
      <c r="V244" s="14" t="e">
        <f>IF(U244="NO","",IF(AND((COUNTBLANK(B244:B244)=0),OR(COUNTBLANK(I244)=0,COUNTBLANK(#REF!)=0),OR(COUNTBLANK(D244:G244)&lt;&gt;4,COUNTBLANK(#REF!)=0)),"YES","NO"))</f>
        <v>#REF!</v>
      </c>
      <c r="W244" s="14" t="e">
        <f>IF(U244="NO","",IF(SUM(#REF!,D244:G244)&gt;0,"YES","NO"))</f>
        <v>#REF!</v>
      </c>
      <c r="X244" s="14" t="e">
        <f>IF(OR(V244="NO",W244="NO",T244="AHFC",#REF!="AHFC"),"FLAG","")</f>
        <v>#REF!</v>
      </c>
      <c r="Y244" s="15" t="e">
        <f t="shared" si="62"/>
        <v>#REF!</v>
      </c>
    </row>
    <row r="245" spans="1:25" ht="12.75" hidden="1" customHeight="1" x14ac:dyDescent="0.2">
      <c r="A245" s="8">
        <v>73</v>
      </c>
      <c r="B245" s="161"/>
      <c r="C245" s="161"/>
      <c r="D245" s="451"/>
      <c r="E245" s="451"/>
      <c r="F245" s="451"/>
      <c r="G245" s="451"/>
      <c r="H245" s="161"/>
      <c r="I245" s="452"/>
      <c r="J245" s="20" t="str">
        <f>IFERROR(VLOOKUP($Q245,FeeLookup!$J$5:$L$33,2,FALSE),"")</f>
        <v/>
      </c>
      <c r="K245" s="20" t="str">
        <f>IFERROR(VLOOKUP($Q245,FeeLookup!$J$5:$L$33,3,FALSE),"")</f>
        <v/>
      </c>
      <c r="L245" s="413"/>
      <c r="M245" s="414"/>
      <c r="N245" s="5"/>
      <c r="O245" s="12" t="e">
        <f>RIGHT(#REF!,LEN(#REF!)-20)</f>
        <v>#REF!</v>
      </c>
      <c r="P245" s="12" t="str">
        <f t="shared" si="58"/>
        <v/>
      </c>
      <c r="Q245" s="13" t="e">
        <f t="shared" si="59"/>
        <v>#REF!</v>
      </c>
      <c r="R245" s="13" t="e">
        <f>IF(#REF!="","",IF(#REF!="","0",#REF!))</f>
        <v>#REF!</v>
      </c>
      <c r="S245" s="12" t="e">
        <f>IF(OR(#REF!="",J245=""),"",IF(OR((R245-#REF!)&gt;0,(I245-J245)&gt;0),"YES","NO"))</f>
        <v>#REF!</v>
      </c>
      <c r="T245" s="12" t="str">
        <f t="shared" si="60"/>
        <v/>
      </c>
      <c r="U245" s="12" t="str">
        <f t="shared" si="61"/>
        <v>YES</v>
      </c>
      <c r="V245" s="14" t="e">
        <f>IF(U245="NO","",IF(AND((COUNTBLANK(B245:B245)=0),OR(COUNTBLANK(I245)=0,COUNTBLANK(#REF!)=0),OR(COUNTBLANK(D245:G245)&lt;&gt;4,COUNTBLANK(#REF!)=0)),"YES","NO"))</f>
        <v>#REF!</v>
      </c>
      <c r="W245" s="14" t="e">
        <f>IF(U245="NO","",IF(SUM(#REF!,D245:G245)&gt;0,"YES","NO"))</f>
        <v>#REF!</v>
      </c>
      <c r="X245" s="14" t="e">
        <f>IF(OR(V245="NO",W245="NO",T245="AHFC",#REF!="AHFC"),"FLAG","")</f>
        <v>#REF!</v>
      </c>
      <c r="Y245" s="15" t="e">
        <f t="shared" si="62"/>
        <v>#REF!</v>
      </c>
    </row>
    <row r="246" spans="1:25" ht="12.75" hidden="1" customHeight="1" x14ac:dyDescent="0.2">
      <c r="A246" s="16">
        <v>74</v>
      </c>
      <c r="B246" s="422"/>
      <c r="C246" s="422"/>
      <c r="D246" s="453"/>
      <c r="E246" s="453"/>
      <c r="F246" s="453"/>
      <c r="G246" s="453"/>
      <c r="H246" s="422"/>
      <c r="I246" s="454"/>
      <c r="J246" s="11" t="str">
        <f>IFERROR(VLOOKUP($Q246,FeeLookup!$J$5:$L$33,2,FALSE),"")</f>
        <v/>
      </c>
      <c r="K246" s="11" t="str">
        <f>IFERROR(VLOOKUP($Q246,FeeLookup!$J$5:$L$33,3,FALSE),"")</f>
        <v/>
      </c>
      <c r="L246" s="413"/>
      <c r="M246" s="414"/>
      <c r="N246" s="5"/>
      <c r="O246" s="12" t="e">
        <f>RIGHT(#REF!,LEN(#REF!)-20)</f>
        <v>#REF!</v>
      </c>
      <c r="P246" s="12" t="str">
        <f t="shared" si="58"/>
        <v/>
      </c>
      <c r="Q246" s="13" t="e">
        <f t="shared" si="59"/>
        <v>#REF!</v>
      </c>
      <c r="R246" s="13" t="e">
        <f>IF(#REF!="","",IF(#REF!="","0",#REF!))</f>
        <v>#REF!</v>
      </c>
      <c r="S246" s="12" t="e">
        <f>IF(OR(#REF!="",J246=""),"",IF(OR((R246-#REF!)&gt;0,(I246-J246)&gt;0),"YES","NO"))</f>
        <v>#REF!</v>
      </c>
      <c r="T246" s="12" t="str">
        <f t="shared" si="60"/>
        <v/>
      </c>
      <c r="U246" s="12" t="str">
        <f t="shared" si="61"/>
        <v>YES</v>
      </c>
      <c r="V246" s="14" t="e">
        <f>IF(U246="NO","",IF(AND((COUNTBLANK(B246:B246)=0),OR(COUNTBLANK(I246)=0,COUNTBLANK(#REF!)=0),OR(COUNTBLANK(D246:G246)&lt;&gt;4,COUNTBLANK(#REF!)=0)),"YES","NO"))</f>
        <v>#REF!</v>
      </c>
      <c r="W246" s="14" t="e">
        <f>IF(U246="NO","",IF(SUM(#REF!,D246:G246)&gt;0,"YES","NO"))</f>
        <v>#REF!</v>
      </c>
      <c r="X246" s="14" t="e">
        <f>IF(OR(V246="NO",W246="NO",T246="AHFC",#REF!="AHFC"),"FLAG","")</f>
        <v>#REF!</v>
      </c>
      <c r="Y246" s="15" t="e">
        <f t="shared" si="62"/>
        <v>#REF!</v>
      </c>
    </row>
    <row r="247" spans="1:25" ht="12.75" hidden="1" customHeight="1" x14ac:dyDescent="0.2">
      <c r="A247" s="16">
        <v>75</v>
      </c>
      <c r="B247" s="422"/>
      <c r="C247" s="422"/>
      <c r="D247" s="453"/>
      <c r="E247" s="453"/>
      <c r="F247" s="453"/>
      <c r="G247" s="453"/>
      <c r="H247" s="422"/>
      <c r="I247" s="454"/>
      <c r="J247" s="11" t="str">
        <f>IFERROR(VLOOKUP($Q247,FeeLookup!$J$5:$L$33,2,FALSE),"")</f>
        <v/>
      </c>
      <c r="K247" s="11" t="str">
        <f>IFERROR(VLOOKUP($Q247,FeeLookup!$J$5:$L$33,3,FALSE),"")</f>
        <v/>
      </c>
      <c r="L247" s="413"/>
      <c r="M247" s="414"/>
      <c r="N247" s="5"/>
      <c r="O247" s="12" t="e">
        <f>RIGHT(#REF!,LEN(#REF!)-20)</f>
        <v>#REF!</v>
      </c>
      <c r="P247" s="12" t="str">
        <f t="shared" si="58"/>
        <v/>
      </c>
      <c r="Q247" s="13" t="e">
        <f t="shared" si="59"/>
        <v>#REF!</v>
      </c>
      <c r="R247" s="13" t="e">
        <f>IF(#REF!="","",IF(#REF!="","0",#REF!))</f>
        <v>#REF!</v>
      </c>
      <c r="S247" s="12" t="e">
        <f>IF(OR(#REF!="",J247=""),"",IF(OR((R247-#REF!)&gt;0,(I247-J247)&gt;0),"YES","NO"))</f>
        <v>#REF!</v>
      </c>
      <c r="T247" s="12" t="str">
        <f t="shared" si="60"/>
        <v/>
      </c>
      <c r="U247" s="12" t="str">
        <f t="shared" si="61"/>
        <v>YES</v>
      </c>
      <c r="V247" s="14" t="e">
        <f>IF(U247="NO","",IF(AND((COUNTBLANK(B247:B247)=0),OR(COUNTBLANK(I247)=0,COUNTBLANK(#REF!)=0),OR(COUNTBLANK(D247:G247)&lt;&gt;4,COUNTBLANK(#REF!)=0)),"YES","NO"))</f>
        <v>#REF!</v>
      </c>
      <c r="W247" s="14" t="e">
        <f>IF(U247="NO","",IF(SUM(#REF!,D247:G247)&gt;0,"YES","NO"))</f>
        <v>#REF!</v>
      </c>
      <c r="X247" s="14" t="e">
        <f>IF(OR(V247="NO",W247="NO",T247="AHFC",#REF!="AHFC"),"FLAG","")</f>
        <v>#REF!</v>
      </c>
      <c r="Y247" s="15" t="e">
        <f t="shared" si="62"/>
        <v>#REF!</v>
      </c>
    </row>
    <row r="248" spans="1:25" ht="12.75" hidden="1" customHeight="1" x14ac:dyDescent="0.2">
      <c r="A248" s="16">
        <v>76</v>
      </c>
      <c r="B248" s="422"/>
      <c r="C248" s="422"/>
      <c r="D248" s="453"/>
      <c r="E248" s="453"/>
      <c r="F248" s="453"/>
      <c r="G248" s="453"/>
      <c r="H248" s="422"/>
      <c r="I248" s="454"/>
      <c r="J248" s="19" t="str">
        <f>IFERROR(VLOOKUP($Q248,FeeLookup!$J$5:$L$33,2,FALSE),"")</f>
        <v/>
      </c>
      <c r="K248" s="19" t="str">
        <f>IFERROR(VLOOKUP($Q248,FeeLookup!$J$5:$L$33,3,FALSE),"")</f>
        <v/>
      </c>
      <c r="L248" s="413"/>
      <c r="M248" s="414"/>
      <c r="N248" s="5"/>
      <c r="O248" s="12" t="e">
        <f>RIGHT(#REF!,LEN(#REF!)-20)</f>
        <v>#REF!</v>
      </c>
      <c r="P248" s="12" t="str">
        <f t="shared" si="58"/>
        <v/>
      </c>
      <c r="Q248" s="13" t="e">
        <f t="shared" si="59"/>
        <v>#REF!</v>
      </c>
      <c r="R248" s="13" t="e">
        <f>IF(#REF!="","",IF(#REF!="","0",#REF!))</f>
        <v>#REF!</v>
      </c>
      <c r="S248" s="12" t="e">
        <f>IF(OR(#REF!="",J248=""),"",IF(OR((R248-#REF!)&gt;0,(I248-J248)&gt;0),"YES","NO"))</f>
        <v>#REF!</v>
      </c>
      <c r="T248" s="12" t="str">
        <f t="shared" si="60"/>
        <v/>
      </c>
      <c r="U248" s="12" t="str">
        <f t="shared" si="61"/>
        <v>YES</v>
      </c>
      <c r="V248" s="14" t="e">
        <f>IF(U248="NO","",IF(AND((COUNTBLANK(B248:B248)=0),OR(COUNTBLANK(I248)=0,COUNTBLANK(#REF!)=0),OR(COUNTBLANK(D248:G248)&lt;&gt;4,COUNTBLANK(#REF!)=0)),"YES","NO"))</f>
        <v>#REF!</v>
      </c>
      <c r="W248" s="14" t="e">
        <f>IF(U248="NO","",IF(SUM(#REF!,D248:G248)&gt;0,"YES","NO"))</f>
        <v>#REF!</v>
      </c>
      <c r="X248" s="14" t="e">
        <f>IF(OR(V248="NO",W248="NO",T248="AHFC",#REF!="AHFC"),"FLAG","")</f>
        <v>#REF!</v>
      </c>
      <c r="Y248" s="15" t="e">
        <f t="shared" si="62"/>
        <v>#REF!</v>
      </c>
    </row>
    <row r="249" spans="1:25" ht="12.75" hidden="1" customHeight="1" x14ac:dyDescent="0.2">
      <c r="A249" s="8">
        <v>77</v>
      </c>
      <c r="B249" s="161"/>
      <c r="C249" s="161"/>
      <c r="D249" s="451"/>
      <c r="E249" s="451"/>
      <c r="F249" s="451"/>
      <c r="G249" s="451"/>
      <c r="H249" s="161"/>
      <c r="I249" s="452"/>
      <c r="J249" s="20" t="str">
        <f>IFERROR(VLOOKUP($Q249,FeeLookup!$J$5:$L$33,2,FALSE),"")</f>
        <v/>
      </c>
      <c r="K249" s="20" t="str">
        <f>IFERROR(VLOOKUP($Q249,FeeLookup!$J$5:$L$33,3,FALSE),"")</f>
        <v/>
      </c>
      <c r="L249" s="413"/>
      <c r="M249" s="414"/>
      <c r="N249" s="5"/>
      <c r="O249" s="12" t="e">
        <f>RIGHT(#REF!,LEN(#REF!)-20)</f>
        <v>#REF!</v>
      </c>
      <c r="P249" s="12" t="str">
        <f t="shared" si="58"/>
        <v/>
      </c>
      <c r="Q249" s="13" t="e">
        <f t="shared" si="59"/>
        <v>#REF!</v>
      </c>
      <c r="R249" s="13" t="e">
        <f>IF(#REF!="","",IF(#REF!="","0",#REF!))</f>
        <v>#REF!</v>
      </c>
      <c r="S249" s="12" t="e">
        <f>IF(OR(#REF!="",J249=""),"",IF(OR((R249-#REF!)&gt;0,(I249-J249)&gt;0),"YES","NO"))</f>
        <v>#REF!</v>
      </c>
      <c r="T249" s="12" t="str">
        <f t="shared" si="60"/>
        <v/>
      </c>
      <c r="U249" s="12" t="str">
        <f t="shared" si="61"/>
        <v>YES</v>
      </c>
      <c r="V249" s="14" t="e">
        <f>IF(U249="NO","",IF(AND((COUNTBLANK(B249:B249)=0),OR(COUNTBLANK(I249)=0,COUNTBLANK(#REF!)=0),OR(COUNTBLANK(D249:G249)&lt;&gt;4,COUNTBLANK(#REF!)=0)),"YES","NO"))</f>
        <v>#REF!</v>
      </c>
      <c r="W249" s="14" t="e">
        <f>IF(U249="NO","",IF(SUM(#REF!,D249:G249)&gt;0,"YES","NO"))</f>
        <v>#REF!</v>
      </c>
      <c r="X249" s="14" t="e">
        <f>IF(OR(V249="NO",W249="NO",T249="AHFC",#REF!="AHFC"),"FLAG","")</f>
        <v>#REF!</v>
      </c>
      <c r="Y249" s="15" t="e">
        <f t="shared" si="62"/>
        <v>#REF!</v>
      </c>
    </row>
    <row r="250" spans="1:25" ht="12.75" hidden="1" customHeight="1" x14ac:dyDescent="0.2">
      <c r="A250" s="16">
        <v>78</v>
      </c>
      <c r="B250" s="422"/>
      <c r="C250" s="422"/>
      <c r="D250" s="453"/>
      <c r="E250" s="453"/>
      <c r="F250" s="453"/>
      <c r="G250" s="453"/>
      <c r="H250" s="422"/>
      <c r="I250" s="454"/>
      <c r="J250" s="11" t="str">
        <f>IFERROR(VLOOKUP($Q250,FeeLookup!$J$5:$L$33,2,FALSE),"")</f>
        <v/>
      </c>
      <c r="K250" s="11" t="str">
        <f>IFERROR(VLOOKUP($Q250,FeeLookup!$J$5:$L$33,3,FALSE),"")</f>
        <v/>
      </c>
      <c r="L250" s="413"/>
      <c r="M250" s="414"/>
      <c r="N250" s="5"/>
      <c r="O250" s="12" t="e">
        <f>RIGHT(#REF!,LEN(#REF!)-20)</f>
        <v>#REF!</v>
      </c>
      <c r="P250" s="12" t="str">
        <f t="shared" si="58"/>
        <v/>
      </c>
      <c r="Q250" s="13" t="e">
        <f t="shared" si="59"/>
        <v>#REF!</v>
      </c>
      <c r="R250" s="13" t="e">
        <f>IF(#REF!="","",IF(#REF!="","0",#REF!))</f>
        <v>#REF!</v>
      </c>
      <c r="S250" s="12" t="e">
        <f>IF(OR(#REF!="",J250=""),"",IF(OR((R250-#REF!)&gt;0,(I250-J250)&gt;0),"YES","NO"))</f>
        <v>#REF!</v>
      </c>
      <c r="T250" s="12" t="str">
        <f t="shared" si="60"/>
        <v/>
      </c>
      <c r="U250" s="12" t="str">
        <f t="shared" si="61"/>
        <v>YES</v>
      </c>
      <c r="V250" s="14" t="e">
        <f>IF(U250="NO","",IF(AND((COUNTBLANK(B250:B250)=0),OR(COUNTBLANK(I250)=0,COUNTBLANK(#REF!)=0),OR(COUNTBLANK(D250:G250)&lt;&gt;4,COUNTBLANK(#REF!)=0)),"YES","NO"))</f>
        <v>#REF!</v>
      </c>
      <c r="W250" s="14" t="e">
        <f>IF(U250="NO","",IF(SUM(#REF!,D250:G250)&gt;0,"YES","NO"))</f>
        <v>#REF!</v>
      </c>
      <c r="X250" s="14" t="e">
        <f>IF(OR(V250="NO",W250="NO",T250="AHFC",#REF!="AHFC"),"FLAG","")</f>
        <v>#REF!</v>
      </c>
      <c r="Y250" s="15" t="e">
        <f t="shared" si="62"/>
        <v>#REF!</v>
      </c>
    </row>
    <row r="251" spans="1:25" ht="12.75" hidden="1" customHeight="1" x14ac:dyDescent="0.2">
      <c r="A251" s="16">
        <v>79</v>
      </c>
      <c r="B251" s="422"/>
      <c r="C251" s="422"/>
      <c r="D251" s="453"/>
      <c r="E251" s="453"/>
      <c r="F251" s="453"/>
      <c r="G251" s="453"/>
      <c r="H251" s="422"/>
      <c r="I251" s="454"/>
      <c r="J251" s="11" t="str">
        <f>IFERROR(VLOOKUP($Q251,FeeLookup!$J$5:$L$33,2,FALSE),"")</f>
        <v/>
      </c>
      <c r="K251" s="11" t="str">
        <f>IFERROR(VLOOKUP($Q251,FeeLookup!$J$5:$L$33,3,FALSE),"")</f>
        <v/>
      </c>
      <c r="L251" s="413"/>
      <c r="M251" s="414"/>
      <c r="N251" s="5"/>
      <c r="O251" s="12" t="e">
        <f>RIGHT(#REF!,LEN(#REF!)-20)</f>
        <v>#REF!</v>
      </c>
      <c r="P251" s="12" t="str">
        <f t="shared" si="58"/>
        <v/>
      </c>
      <c r="Q251" s="13" t="e">
        <f t="shared" si="59"/>
        <v>#REF!</v>
      </c>
      <c r="R251" s="13" t="e">
        <f>IF(#REF!="","",IF(#REF!="","0",#REF!))</f>
        <v>#REF!</v>
      </c>
      <c r="S251" s="12" t="e">
        <f>IF(OR(#REF!="",J251=""),"",IF(OR((R251-#REF!)&gt;0,(I251-J251)&gt;0),"YES","NO"))</f>
        <v>#REF!</v>
      </c>
      <c r="T251" s="12" t="str">
        <f t="shared" si="60"/>
        <v/>
      </c>
      <c r="U251" s="12" t="str">
        <f t="shared" si="61"/>
        <v>YES</v>
      </c>
      <c r="V251" s="14" t="e">
        <f>IF(U251="NO","",IF(AND((COUNTBLANK(B251:B251)=0),OR(COUNTBLANK(I251)=0,COUNTBLANK(#REF!)=0),OR(COUNTBLANK(D251:G251)&lt;&gt;4,COUNTBLANK(#REF!)=0)),"YES","NO"))</f>
        <v>#REF!</v>
      </c>
      <c r="W251" s="14" t="e">
        <f>IF(U251="NO","",IF(SUM(#REF!,D251:G251)&gt;0,"YES","NO"))</f>
        <v>#REF!</v>
      </c>
      <c r="X251" s="14" t="e">
        <f>IF(OR(V251="NO",W251="NO",T251="AHFC",#REF!="AHFC"),"FLAG","")</f>
        <v>#REF!</v>
      </c>
      <c r="Y251" s="15" t="e">
        <f t="shared" si="62"/>
        <v>#REF!</v>
      </c>
    </row>
    <row r="252" spans="1:25" ht="12.75" hidden="1" customHeight="1" x14ac:dyDescent="0.2">
      <c r="A252" s="16">
        <v>80</v>
      </c>
      <c r="B252" s="422"/>
      <c r="C252" s="422"/>
      <c r="D252" s="453"/>
      <c r="E252" s="453"/>
      <c r="F252" s="453"/>
      <c r="G252" s="453"/>
      <c r="H252" s="422"/>
      <c r="I252" s="454"/>
      <c r="J252" s="19" t="str">
        <f>IFERROR(VLOOKUP($Q252,FeeLookup!$J$5:$L$33,2,FALSE),"")</f>
        <v/>
      </c>
      <c r="K252" s="19" t="str">
        <f>IFERROR(VLOOKUP($Q252,FeeLookup!$J$5:$L$33,3,FALSE),"")</f>
        <v/>
      </c>
      <c r="L252" s="413"/>
      <c r="M252" s="414"/>
      <c r="N252" s="5"/>
      <c r="O252" s="12" t="e">
        <f>RIGHT(#REF!,LEN(#REF!)-20)</f>
        <v>#REF!</v>
      </c>
      <c r="P252" s="12" t="str">
        <f t="shared" si="58"/>
        <v/>
      </c>
      <c r="Q252" s="13" t="e">
        <f t="shared" si="59"/>
        <v>#REF!</v>
      </c>
      <c r="R252" s="13" t="e">
        <f>IF(#REF!="","",IF(#REF!="","0",#REF!))</f>
        <v>#REF!</v>
      </c>
      <c r="S252" s="12" t="e">
        <f>IF(OR(#REF!="",J252=""),"",IF(OR((R252-#REF!)&gt;0,(I252-J252)&gt;0),"YES","NO"))</f>
        <v>#REF!</v>
      </c>
      <c r="T252" s="12" t="str">
        <f t="shared" si="60"/>
        <v/>
      </c>
      <c r="U252" s="12" t="str">
        <f t="shared" si="61"/>
        <v>YES</v>
      </c>
      <c r="V252" s="14" t="e">
        <f>IF(U252="NO","",IF(AND((COUNTBLANK(B252:B252)=0),OR(COUNTBLANK(I252)=0,COUNTBLANK(#REF!)=0),OR(COUNTBLANK(D252:G252)&lt;&gt;4,COUNTBLANK(#REF!)=0)),"YES","NO"))</f>
        <v>#REF!</v>
      </c>
      <c r="W252" s="14" t="e">
        <f>IF(U252="NO","",IF(SUM(#REF!,D252:G252)&gt;0,"YES","NO"))</f>
        <v>#REF!</v>
      </c>
      <c r="X252" s="14" t="e">
        <f>IF(OR(V252="NO",W252="NO",T252="AHFC",#REF!="AHFC"),"FLAG","")</f>
        <v>#REF!</v>
      </c>
      <c r="Y252" s="15" t="e">
        <f t="shared" si="62"/>
        <v>#REF!</v>
      </c>
    </row>
    <row r="253" spans="1:25" ht="12.75" hidden="1" customHeight="1" x14ac:dyDescent="0.2">
      <c r="A253" s="8">
        <v>81</v>
      </c>
      <c r="B253" s="161"/>
      <c r="C253" s="161"/>
      <c r="D253" s="451"/>
      <c r="E253" s="451"/>
      <c r="F253" s="451"/>
      <c r="G253" s="451"/>
      <c r="H253" s="161"/>
      <c r="I253" s="452"/>
      <c r="J253" s="20" t="str">
        <f>IFERROR(VLOOKUP($Q253,FeeLookup!$J$5:$L$33,2,FALSE),"")</f>
        <v/>
      </c>
      <c r="K253" s="20" t="str">
        <f>IFERROR(VLOOKUP($Q253,FeeLookup!$J$5:$L$33,3,FALSE),"")</f>
        <v/>
      </c>
      <c r="L253" s="413"/>
      <c r="M253" s="414"/>
      <c r="N253" s="5"/>
      <c r="O253" s="12" t="e">
        <f>RIGHT(#REF!,LEN(#REF!)-20)</f>
        <v>#REF!</v>
      </c>
      <c r="P253" s="12" t="str">
        <f t="shared" si="58"/>
        <v/>
      </c>
      <c r="Q253" s="13" t="e">
        <f t="shared" si="59"/>
        <v>#REF!</v>
      </c>
      <c r="R253" s="13" t="e">
        <f>IF(#REF!="","",IF(#REF!="","0",#REF!))</f>
        <v>#REF!</v>
      </c>
      <c r="S253" s="12" t="e">
        <f>IF(OR(#REF!="",J253=""),"",IF(OR((R253-#REF!)&gt;0,(I253-J253)&gt;0),"YES","NO"))</f>
        <v>#REF!</v>
      </c>
      <c r="T253" s="12" t="str">
        <f t="shared" si="60"/>
        <v/>
      </c>
      <c r="U253" s="12" t="str">
        <f t="shared" si="61"/>
        <v>YES</v>
      </c>
      <c r="V253" s="14" t="e">
        <f>IF(U253="NO","",IF(AND((COUNTBLANK(B253:B253)=0),OR(COUNTBLANK(I253)=0,COUNTBLANK(#REF!)=0),OR(COUNTBLANK(D253:G253)&lt;&gt;4,COUNTBLANK(#REF!)=0)),"YES","NO"))</f>
        <v>#REF!</v>
      </c>
      <c r="W253" s="14" t="e">
        <f>IF(U253="NO","",IF(SUM(#REF!,D253:G253)&gt;0,"YES","NO"))</f>
        <v>#REF!</v>
      </c>
      <c r="X253" s="14" t="e">
        <f>IF(OR(V253="NO",W253="NO",T253="AHFC",#REF!="AHFC"),"FLAG","")</f>
        <v>#REF!</v>
      </c>
      <c r="Y253" s="15" t="e">
        <f t="shared" si="62"/>
        <v>#REF!</v>
      </c>
    </row>
    <row r="254" spans="1:25" ht="12.75" hidden="1" customHeight="1" x14ac:dyDescent="0.2">
      <c r="A254" s="16">
        <v>82</v>
      </c>
      <c r="B254" s="422"/>
      <c r="C254" s="422"/>
      <c r="D254" s="453"/>
      <c r="E254" s="453"/>
      <c r="F254" s="453"/>
      <c r="G254" s="453"/>
      <c r="H254" s="422"/>
      <c r="I254" s="454"/>
      <c r="J254" s="11" t="str">
        <f>IFERROR(VLOOKUP($Q254,FeeLookup!$J$5:$L$33,2,FALSE),"")</f>
        <v/>
      </c>
      <c r="K254" s="11" t="str">
        <f>IFERROR(VLOOKUP($Q254,FeeLookup!$J$5:$L$33,3,FALSE),"")</f>
        <v/>
      </c>
      <c r="L254" s="413"/>
      <c r="M254" s="414"/>
      <c r="N254" s="5"/>
      <c r="O254" s="12" t="e">
        <f>RIGHT(#REF!,LEN(#REF!)-20)</f>
        <v>#REF!</v>
      </c>
      <c r="P254" s="12" t="str">
        <f t="shared" si="58"/>
        <v/>
      </c>
      <c r="Q254" s="13" t="e">
        <f t="shared" si="59"/>
        <v>#REF!</v>
      </c>
      <c r="R254" s="13" t="e">
        <f>IF(#REF!="","",IF(#REF!="","0",#REF!))</f>
        <v>#REF!</v>
      </c>
      <c r="S254" s="12" t="e">
        <f>IF(OR(#REF!="",J254=""),"",IF(OR((R254-#REF!)&gt;0,(I254-J254)&gt;0),"YES","NO"))</f>
        <v>#REF!</v>
      </c>
      <c r="T254" s="12" t="str">
        <f t="shared" si="60"/>
        <v/>
      </c>
      <c r="U254" s="12" t="str">
        <f t="shared" si="61"/>
        <v>YES</v>
      </c>
      <c r="V254" s="14" t="e">
        <f>IF(U254="NO","",IF(AND((COUNTBLANK(B254:B254)=0),OR(COUNTBLANK(I254)=0,COUNTBLANK(#REF!)=0),OR(COUNTBLANK(D254:G254)&lt;&gt;4,COUNTBLANK(#REF!)=0)),"YES","NO"))</f>
        <v>#REF!</v>
      </c>
      <c r="W254" s="14" t="e">
        <f>IF(U254="NO","",IF(SUM(#REF!,D254:G254)&gt;0,"YES","NO"))</f>
        <v>#REF!</v>
      </c>
      <c r="X254" s="14" t="e">
        <f>IF(OR(V254="NO",W254="NO",T254="AHFC",#REF!="AHFC"),"FLAG","")</f>
        <v>#REF!</v>
      </c>
      <c r="Y254" s="15" t="e">
        <f t="shared" si="62"/>
        <v>#REF!</v>
      </c>
    </row>
    <row r="255" spans="1:25" ht="12.75" hidden="1" customHeight="1" x14ac:dyDescent="0.2">
      <c r="A255" s="16">
        <v>83</v>
      </c>
      <c r="B255" s="422"/>
      <c r="C255" s="422"/>
      <c r="D255" s="453"/>
      <c r="E255" s="453"/>
      <c r="F255" s="453"/>
      <c r="G255" s="453"/>
      <c r="H255" s="422"/>
      <c r="I255" s="454"/>
      <c r="J255" s="11" t="str">
        <f>IFERROR(VLOOKUP($Q255,FeeLookup!$J$5:$L$33,2,FALSE),"")</f>
        <v/>
      </c>
      <c r="K255" s="11" t="str">
        <f>IFERROR(VLOOKUP($Q255,FeeLookup!$J$5:$L$33,3,FALSE),"")</f>
        <v/>
      </c>
      <c r="L255" s="413"/>
      <c r="M255" s="414"/>
      <c r="N255" s="5"/>
      <c r="O255" s="12" t="e">
        <f>RIGHT(#REF!,LEN(#REF!)-20)</f>
        <v>#REF!</v>
      </c>
      <c r="P255" s="12" t="str">
        <f t="shared" si="58"/>
        <v/>
      </c>
      <c r="Q255" s="13" t="e">
        <f t="shared" si="59"/>
        <v>#REF!</v>
      </c>
      <c r="R255" s="13" t="e">
        <f>IF(#REF!="","",IF(#REF!="","0",#REF!))</f>
        <v>#REF!</v>
      </c>
      <c r="S255" s="12" t="e">
        <f>IF(OR(#REF!="",J255=""),"",IF(OR((R255-#REF!)&gt;0,(I255-J255)&gt;0),"YES","NO"))</f>
        <v>#REF!</v>
      </c>
      <c r="T255" s="12" t="str">
        <f t="shared" si="60"/>
        <v/>
      </c>
      <c r="U255" s="12" t="str">
        <f t="shared" si="61"/>
        <v>YES</v>
      </c>
      <c r="V255" s="14" t="e">
        <f>IF(U255="NO","",IF(AND((COUNTBLANK(B255:B255)=0),OR(COUNTBLANK(I255)=0,COUNTBLANK(#REF!)=0),OR(COUNTBLANK(D255:G255)&lt;&gt;4,COUNTBLANK(#REF!)=0)),"YES","NO"))</f>
        <v>#REF!</v>
      </c>
      <c r="W255" s="14" t="e">
        <f>IF(U255="NO","",IF(SUM(#REF!,D255:G255)&gt;0,"YES","NO"))</f>
        <v>#REF!</v>
      </c>
      <c r="X255" s="14" t="e">
        <f>IF(OR(V255="NO",W255="NO",T255="AHFC",#REF!="AHFC"),"FLAG","")</f>
        <v>#REF!</v>
      </c>
      <c r="Y255" s="15" t="e">
        <f t="shared" si="62"/>
        <v>#REF!</v>
      </c>
    </row>
    <row r="256" spans="1:25" ht="12.75" hidden="1" customHeight="1" x14ac:dyDescent="0.2">
      <c r="A256" s="16">
        <v>84</v>
      </c>
      <c r="B256" s="422"/>
      <c r="C256" s="422"/>
      <c r="D256" s="453"/>
      <c r="E256" s="453"/>
      <c r="F256" s="453"/>
      <c r="G256" s="453"/>
      <c r="H256" s="422"/>
      <c r="I256" s="454"/>
      <c r="J256" s="19" t="str">
        <f>IFERROR(VLOOKUP($Q256,FeeLookup!$J$5:$L$33,2,FALSE),"")</f>
        <v/>
      </c>
      <c r="K256" s="19" t="str">
        <f>IFERROR(VLOOKUP($Q256,FeeLookup!$J$5:$L$33,3,FALSE),"")</f>
        <v/>
      </c>
      <c r="L256" s="413"/>
      <c r="M256" s="414"/>
      <c r="N256" s="5"/>
      <c r="O256" s="12" t="e">
        <f>RIGHT(#REF!,LEN(#REF!)-20)</f>
        <v>#REF!</v>
      </c>
      <c r="P256" s="12" t="str">
        <f t="shared" si="58"/>
        <v/>
      </c>
      <c r="Q256" s="13" t="e">
        <f t="shared" si="59"/>
        <v>#REF!</v>
      </c>
      <c r="R256" s="13" t="e">
        <f>IF(#REF!="","",IF(#REF!="","0",#REF!))</f>
        <v>#REF!</v>
      </c>
      <c r="S256" s="12" t="e">
        <f>IF(OR(#REF!="",J256=""),"",IF(OR((R256-#REF!)&gt;0,(I256-J256)&gt;0),"YES","NO"))</f>
        <v>#REF!</v>
      </c>
      <c r="T256" s="12" t="str">
        <f t="shared" si="60"/>
        <v/>
      </c>
      <c r="U256" s="12" t="str">
        <f t="shared" si="61"/>
        <v>YES</v>
      </c>
      <c r="V256" s="14" t="e">
        <f>IF(U256="NO","",IF(AND((COUNTBLANK(B256:B256)=0),OR(COUNTBLANK(I256)=0,COUNTBLANK(#REF!)=0),OR(COUNTBLANK(D256:G256)&lt;&gt;4,COUNTBLANK(#REF!)=0)),"YES","NO"))</f>
        <v>#REF!</v>
      </c>
      <c r="W256" s="14" t="e">
        <f>IF(U256="NO","",IF(SUM(#REF!,D256:G256)&gt;0,"YES","NO"))</f>
        <v>#REF!</v>
      </c>
      <c r="X256" s="14" t="e">
        <f>IF(OR(V256="NO",W256="NO",T256="AHFC",#REF!="AHFC"),"FLAG","")</f>
        <v>#REF!</v>
      </c>
      <c r="Y256" s="15" t="e">
        <f t="shared" si="62"/>
        <v>#REF!</v>
      </c>
    </row>
    <row r="257" spans="1:25" ht="12.75" hidden="1" customHeight="1" x14ac:dyDescent="0.2">
      <c r="A257" s="8">
        <v>85</v>
      </c>
      <c r="B257" s="161"/>
      <c r="C257" s="161"/>
      <c r="D257" s="451"/>
      <c r="E257" s="451"/>
      <c r="F257" s="451"/>
      <c r="G257" s="451"/>
      <c r="H257" s="161"/>
      <c r="I257" s="452"/>
      <c r="J257" s="20" t="str">
        <f>IFERROR(VLOOKUP($Q257,FeeLookup!$J$5:$L$33,2,FALSE),"")</f>
        <v/>
      </c>
      <c r="K257" s="20" t="str">
        <f>IFERROR(VLOOKUP($Q257,FeeLookup!$J$5:$L$33,3,FALSE),"")</f>
        <v/>
      </c>
      <c r="L257" s="413"/>
      <c r="M257" s="414"/>
      <c r="N257" s="5"/>
      <c r="O257" s="12" t="e">
        <f>RIGHT(#REF!,LEN(#REF!)-20)</f>
        <v>#REF!</v>
      </c>
      <c r="P257" s="12" t="str">
        <f t="shared" si="58"/>
        <v/>
      </c>
      <c r="Q257" s="13" t="e">
        <f t="shared" si="59"/>
        <v>#REF!</v>
      </c>
      <c r="R257" s="13" t="e">
        <f>IF(#REF!="","",IF(#REF!="","0",#REF!))</f>
        <v>#REF!</v>
      </c>
      <c r="S257" s="12" t="e">
        <f>IF(OR(#REF!="",J257=""),"",IF(OR((R257-#REF!)&gt;0,(I257-J257)&gt;0),"YES","NO"))</f>
        <v>#REF!</v>
      </c>
      <c r="T257" s="12" t="str">
        <f t="shared" si="60"/>
        <v/>
      </c>
      <c r="U257" s="12" t="str">
        <f t="shared" si="61"/>
        <v>YES</v>
      </c>
      <c r="V257" s="14" t="e">
        <f>IF(U257="NO","",IF(AND((COUNTBLANK(B257:B257)=0),OR(COUNTBLANK(I257)=0,COUNTBLANK(#REF!)=0),OR(COUNTBLANK(D257:G257)&lt;&gt;4,COUNTBLANK(#REF!)=0)),"YES","NO"))</f>
        <v>#REF!</v>
      </c>
      <c r="W257" s="14" t="e">
        <f>IF(U257="NO","",IF(SUM(#REF!,D257:G257)&gt;0,"YES","NO"))</f>
        <v>#REF!</v>
      </c>
      <c r="X257" s="14" t="e">
        <f>IF(OR(V257="NO",W257="NO",T257="AHFC",#REF!="AHFC"),"FLAG","")</f>
        <v>#REF!</v>
      </c>
      <c r="Y257" s="15" t="e">
        <f t="shared" si="62"/>
        <v>#REF!</v>
      </c>
    </row>
    <row r="258" spans="1:25" ht="12.75" hidden="1" customHeight="1" x14ac:dyDescent="0.2">
      <c r="A258" s="16">
        <v>86</v>
      </c>
      <c r="B258" s="422"/>
      <c r="C258" s="422"/>
      <c r="D258" s="453"/>
      <c r="E258" s="453"/>
      <c r="F258" s="453"/>
      <c r="G258" s="453"/>
      <c r="H258" s="422"/>
      <c r="I258" s="454"/>
      <c r="J258" s="11" t="str">
        <f>IFERROR(VLOOKUP($Q258,FeeLookup!$J$5:$L$33,2,FALSE),"")</f>
        <v/>
      </c>
      <c r="K258" s="11" t="str">
        <f>IFERROR(VLOOKUP($Q258,FeeLookup!$J$5:$L$33,3,FALSE),"")</f>
        <v/>
      </c>
      <c r="L258" s="413"/>
      <c r="M258" s="414"/>
      <c r="N258" s="5"/>
      <c r="O258" s="12" t="e">
        <f>RIGHT(#REF!,LEN(#REF!)-20)</f>
        <v>#REF!</v>
      </c>
      <c r="P258" s="12" t="str">
        <f t="shared" si="58"/>
        <v/>
      </c>
      <c r="Q258" s="13" t="e">
        <f t="shared" si="59"/>
        <v>#REF!</v>
      </c>
      <c r="R258" s="13" t="e">
        <f>IF(#REF!="","",IF(#REF!="","0",#REF!))</f>
        <v>#REF!</v>
      </c>
      <c r="S258" s="12" t="e">
        <f>IF(OR(#REF!="",J258=""),"",IF(OR((R258-#REF!)&gt;0,(I258-J258)&gt;0),"YES","NO"))</f>
        <v>#REF!</v>
      </c>
      <c r="T258" s="12" t="str">
        <f t="shared" si="60"/>
        <v/>
      </c>
      <c r="U258" s="12" t="str">
        <f t="shared" si="61"/>
        <v>YES</v>
      </c>
      <c r="V258" s="14" t="e">
        <f>IF(U258="NO","",IF(AND((COUNTBLANK(B258:B258)=0),OR(COUNTBLANK(I258)=0,COUNTBLANK(#REF!)=0),OR(COUNTBLANK(D258:G258)&lt;&gt;4,COUNTBLANK(#REF!)=0)),"YES","NO"))</f>
        <v>#REF!</v>
      </c>
      <c r="W258" s="14" t="e">
        <f>IF(U258="NO","",IF(SUM(#REF!,D258:G258)&gt;0,"YES","NO"))</f>
        <v>#REF!</v>
      </c>
      <c r="X258" s="14" t="e">
        <f>IF(OR(V258="NO",W258="NO",T258="AHFC",#REF!="AHFC"),"FLAG","")</f>
        <v>#REF!</v>
      </c>
      <c r="Y258" s="15" t="e">
        <f t="shared" si="62"/>
        <v>#REF!</v>
      </c>
    </row>
    <row r="259" spans="1:25" ht="12.75" hidden="1" customHeight="1" x14ac:dyDescent="0.2">
      <c r="A259" s="16">
        <v>87</v>
      </c>
      <c r="B259" s="422"/>
      <c r="C259" s="422"/>
      <c r="D259" s="453"/>
      <c r="E259" s="453"/>
      <c r="F259" s="453"/>
      <c r="G259" s="453"/>
      <c r="H259" s="422"/>
      <c r="I259" s="454"/>
      <c r="J259" s="11" t="str">
        <f>IFERROR(VLOOKUP($Q259,FeeLookup!$J$5:$L$33,2,FALSE),"")</f>
        <v/>
      </c>
      <c r="K259" s="11" t="str">
        <f>IFERROR(VLOOKUP($Q259,FeeLookup!$J$5:$L$33,3,FALSE),"")</f>
        <v/>
      </c>
      <c r="L259" s="413"/>
      <c r="M259" s="414"/>
      <c r="N259" s="5"/>
      <c r="O259" s="12" t="e">
        <f>RIGHT(#REF!,LEN(#REF!)-20)</f>
        <v>#REF!</v>
      </c>
      <c r="P259" s="12" t="str">
        <f t="shared" si="58"/>
        <v/>
      </c>
      <c r="Q259" s="13" t="e">
        <f t="shared" si="59"/>
        <v>#REF!</v>
      </c>
      <c r="R259" s="13" t="e">
        <f>IF(#REF!="","",IF(#REF!="","0",#REF!))</f>
        <v>#REF!</v>
      </c>
      <c r="S259" s="12" t="e">
        <f>IF(OR(#REF!="",J259=""),"",IF(OR((R259-#REF!)&gt;0,(I259-J259)&gt;0),"YES","NO"))</f>
        <v>#REF!</v>
      </c>
      <c r="T259" s="12" t="str">
        <f t="shared" si="60"/>
        <v/>
      </c>
      <c r="U259" s="12" t="str">
        <f t="shared" si="61"/>
        <v>YES</v>
      </c>
      <c r="V259" s="14" t="e">
        <f>IF(U259="NO","",IF(AND((COUNTBLANK(B259:B259)=0),OR(COUNTBLANK(I259)=0,COUNTBLANK(#REF!)=0),OR(COUNTBLANK(D259:G259)&lt;&gt;4,COUNTBLANK(#REF!)=0)),"YES","NO"))</f>
        <v>#REF!</v>
      </c>
      <c r="W259" s="14" t="e">
        <f>IF(U259="NO","",IF(SUM(#REF!,D259:G259)&gt;0,"YES","NO"))</f>
        <v>#REF!</v>
      </c>
      <c r="X259" s="14" t="e">
        <f>IF(OR(V259="NO",W259="NO",T259="AHFC",#REF!="AHFC"),"FLAG","")</f>
        <v>#REF!</v>
      </c>
      <c r="Y259" s="15" t="e">
        <f t="shared" si="62"/>
        <v>#REF!</v>
      </c>
    </row>
    <row r="260" spans="1:25" ht="12.75" hidden="1" customHeight="1" x14ac:dyDescent="0.2">
      <c r="A260" s="16">
        <v>88</v>
      </c>
      <c r="B260" s="422"/>
      <c r="C260" s="422"/>
      <c r="D260" s="453"/>
      <c r="E260" s="453"/>
      <c r="F260" s="453"/>
      <c r="G260" s="453"/>
      <c r="H260" s="422"/>
      <c r="I260" s="454"/>
      <c r="J260" s="19" t="str">
        <f>IFERROR(VLOOKUP($Q260,FeeLookup!$J$5:$L$33,2,FALSE),"")</f>
        <v/>
      </c>
      <c r="K260" s="19" t="str">
        <f>IFERROR(VLOOKUP($Q260,FeeLookup!$J$5:$L$33,3,FALSE),"")</f>
        <v/>
      </c>
      <c r="L260" s="413"/>
      <c r="M260" s="414"/>
      <c r="N260" s="5"/>
      <c r="O260" s="12" t="e">
        <f>RIGHT(#REF!,LEN(#REF!)-20)</f>
        <v>#REF!</v>
      </c>
      <c r="P260" s="12" t="str">
        <f t="shared" si="58"/>
        <v/>
      </c>
      <c r="Q260" s="13" t="e">
        <f t="shared" si="59"/>
        <v>#REF!</v>
      </c>
      <c r="R260" s="13" t="e">
        <f>IF(#REF!="","",IF(#REF!="","0",#REF!))</f>
        <v>#REF!</v>
      </c>
      <c r="S260" s="12" t="e">
        <f>IF(OR(#REF!="",J260=""),"",IF(OR((R260-#REF!)&gt;0,(I260-J260)&gt;0),"YES","NO"))</f>
        <v>#REF!</v>
      </c>
      <c r="T260" s="12" t="str">
        <f t="shared" si="60"/>
        <v/>
      </c>
      <c r="U260" s="12" t="str">
        <f t="shared" si="61"/>
        <v>YES</v>
      </c>
      <c r="V260" s="14" t="e">
        <f>IF(U260="NO","",IF(AND((COUNTBLANK(B260:B260)=0),OR(COUNTBLANK(I260)=0,COUNTBLANK(#REF!)=0),OR(COUNTBLANK(D260:G260)&lt;&gt;4,COUNTBLANK(#REF!)=0)),"YES","NO"))</f>
        <v>#REF!</v>
      </c>
      <c r="W260" s="14" t="e">
        <f>IF(U260="NO","",IF(SUM(#REF!,D260:G260)&gt;0,"YES","NO"))</f>
        <v>#REF!</v>
      </c>
      <c r="X260" s="14" t="e">
        <f>IF(OR(V260="NO",W260="NO",T260="AHFC",#REF!="AHFC"),"FLAG","")</f>
        <v>#REF!</v>
      </c>
      <c r="Y260" s="15" t="e">
        <f t="shared" si="62"/>
        <v>#REF!</v>
      </c>
    </row>
    <row r="261" spans="1:25" ht="12.75" hidden="1" customHeight="1" x14ac:dyDescent="0.2">
      <c r="A261" s="8">
        <v>89</v>
      </c>
      <c r="B261" s="161"/>
      <c r="C261" s="161"/>
      <c r="D261" s="451"/>
      <c r="E261" s="451"/>
      <c r="F261" s="451"/>
      <c r="G261" s="451"/>
      <c r="H261" s="161"/>
      <c r="I261" s="452"/>
      <c r="J261" s="20" t="str">
        <f>IFERROR(VLOOKUP($Q261,FeeLookup!$J$5:$L$33,2,FALSE),"")</f>
        <v/>
      </c>
      <c r="K261" s="20" t="str">
        <f>IFERROR(VLOOKUP($Q261,FeeLookup!$J$5:$L$33,3,FALSE),"")</f>
        <v/>
      </c>
      <c r="L261" s="413"/>
      <c r="M261" s="414"/>
      <c r="N261" s="5"/>
      <c r="O261" s="12" t="e">
        <f>RIGHT(#REF!,LEN(#REF!)-20)</f>
        <v>#REF!</v>
      </c>
      <c r="P261" s="12" t="str">
        <f t="shared" si="58"/>
        <v/>
      </c>
      <c r="Q261" s="13" t="e">
        <f t="shared" si="59"/>
        <v>#REF!</v>
      </c>
      <c r="R261" s="13" t="e">
        <f>IF(#REF!="","",IF(#REF!="","0",#REF!))</f>
        <v>#REF!</v>
      </c>
      <c r="S261" s="12" t="e">
        <f>IF(OR(#REF!="",J261=""),"",IF(OR((R261-#REF!)&gt;0,(I261-J261)&gt;0),"YES","NO"))</f>
        <v>#REF!</v>
      </c>
      <c r="T261" s="12" t="str">
        <f t="shared" si="60"/>
        <v/>
      </c>
      <c r="U261" s="12" t="str">
        <f t="shared" si="61"/>
        <v>YES</v>
      </c>
      <c r="V261" s="14" t="e">
        <f>IF(U261="NO","",IF(AND((COUNTBLANK(B261:B261)=0),OR(COUNTBLANK(I261)=0,COUNTBLANK(#REF!)=0),OR(COUNTBLANK(D261:G261)&lt;&gt;4,COUNTBLANK(#REF!)=0)),"YES","NO"))</f>
        <v>#REF!</v>
      </c>
      <c r="W261" s="14" t="e">
        <f>IF(U261="NO","",IF(SUM(#REF!,D261:G261)&gt;0,"YES","NO"))</f>
        <v>#REF!</v>
      </c>
      <c r="X261" s="14" t="e">
        <f>IF(OR(V261="NO",W261="NO",T261="AHFC",#REF!="AHFC"),"FLAG","")</f>
        <v>#REF!</v>
      </c>
      <c r="Y261" s="15" t="e">
        <f t="shared" si="62"/>
        <v>#REF!</v>
      </c>
    </row>
    <row r="262" spans="1:25" ht="12.75" hidden="1" customHeight="1" x14ac:dyDescent="0.2">
      <c r="A262" s="16">
        <v>90</v>
      </c>
      <c r="B262" s="422"/>
      <c r="C262" s="422"/>
      <c r="D262" s="453"/>
      <c r="E262" s="453"/>
      <c r="F262" s="453"/>
      <c r="G262" s="453"/>
      <c r="H262" s="422"/>
      <c r="I262" s="454"/>
      <c r="J262" s="11" t="str">
        <f>IFERROR(VLOOKUP($Q262,FeeLookup!$J$5:$L$33,2,FALSE),"")</f>
        <v/>
      </c>
      <c r="K262" s="11" t="str">
        <f>IFERROR(VLOOKUP($Q262,FeeLookup!$J$5:$L$33,3,FALSE),"")</f>
        <v/>
      </c>
      <c r="L262" s="413"/>
      <c r="M262" s="414"/>
      <c r="N262" s="5"/>
      <c r="O262" s="12" t="e">
        <f>RIGHT(#REF!,LEN(#REF!)-20)</f>
        <v>#REF!</v>
      </c>
      <c r="P262" s="12" t="str">
        <f t="shared" si="58"/>
        <v/>
      </c>
      <c r="Q262" s="13" t="e">
        <f t="shared" si="59"/>
        <v>#REF!</v>
      </c>
      <c r="R262" s="13" t="e">
        <f>IF(#REF!="","",IF(#REF!="","0",#REF!))</f>
        <v>#REF!</v>
      </c>
      <c r="S262" s="12" t="e">
        <f>IF(OR(#REF!="",J262=""),"",IF(OR((R262-#REF!)&gt;0,(I262-J262)&gt;0),"YES","NO"))</f>
        <v>#REF!</v>
      </c>
      <c r="T262" s="12" t="str">
        <f t="shared" si="60"/>
        <v/>
      </c>
      <c r="U262" s="12" t="str">
        <f t="shared" si="61"/>
        <v>YES</v>
      </c>
      <c r="V262" s="14" t="e">
        <f>IF(U262="NO","",IF(AND((COUNTBLANK(B262:B262)=0),OR(COUNTBLANK(I262)=0,COUNTBLANK(#REF!)=0),OR(COUNTBLANK(D262:G262)&lt;&gt;4,COUNTBLANK(#REF!)=0)),"YES","NO"))</f>
        <v>#REF!</v>
      </c>
      <c r="W262" s="14" t="e">
        <f>IF(U262="NO","",IF(SUM(#REF!,D262:G262)&gt;0,"YES","NO"))</f>
        <v>#REF!</v>
      </c>
      <c r="X262" s="14" t="e">
        <f>IF(OR(V262="NO",W262="NO",T262="AHFC",#REF!="AHFC"),"FLAG","")</f>
        <v>#REF!</v>
      </c>
      <c r="Y262" s="15" t="e">
        <f t="shared" si="62"/>
        <v>#REF!</v>
      </c>
    </row>
    <row r="263" spans="1:25" ht="12.75" hidden="1" customHeight="1" x14ac:dyDescent="0.2">
      <c r="A263" s="16">
        <v>91</v>
      </c>
      <c r="B263" s="422"/>
      <c r="C263" s="422"/>
      <c r="D263" s="453"/>
      <c r="E263" s="453"/>
      <c r="F263" s="453"/>
      <c r="G263" s="453"/>
      <c r="H263" s="422"/>
      <c r="I263" s="454"/>
      <c r="J263" s="11" t="str">
        <f>IFERROR(VLOOKUP($Q263,FeeLookup!$J$5:$L$33,2,FALSE),"")</f>
        <v/>
      </c>
      <c r="K263" s="11" t="str">
        <f>IFERROR(VLOOKUP($Q263,FeeLookup!$J$5:$L$33,3,FALSE),"")</f>
        <v/>
      </c>
      <c r="L263" s="413"/>
      <c r="M263" s="414"/>
      <c r="N263" s="5"/>
      <c r="O263" s="12" t="e">
        <f>RIGHT(#REF!,LEN(#REF!)-20)</f>
        <v>#REF!</v>
      </c>
      <c r="P263" s="12" t="str">
        <f t="shared" si="58"/>
        <v/>
      </c>
      <c r="Q263" s="13" t="e">
        <f t="shared" si="59"/>
        <v>#REF!</v>
      </c>
      <c r="R263" s="13" t="e">
        <f>IF(#REF!="","",IF(#REF!="","0",#REF!))</f>
        <v>#REF!</v>
      </c>
      <c r="S263" s="12" t="e">
        <f>IF(OR(#REF!="",J263=""),"",IF(OR((R263-#REF!)&gt;0,(I263-J263)&gt;0),"YES","NO"))</f>
        <v>#REF!</v>
      </c>
      <c r="T263" s="12" t="str">
        <f t="shared" si="60"/>
        <v/>
      </c>
      <c r="U263" s="12" t="str">
        <f t="shared" si="61"/>
        <v>YES</v>
      </c>
      <c r="V263" s="14" t="e">
        <f>IF(U263="NO","",IF(AND((COUNTBLANK(B263:B263)=0),OR(COUNTBLANK(I263)=0,COUNTBLANK(#REF!)=0),OR(COUNTBLANK(D263:G263)&lt;&gt;4,COUNTBLANK(#REF!)=0)),"YES","NO"))</f>
        <v>#REF!</v>
      </c>
      <c r="W263" s="14" t="e">
        <f>IF(U263="NO","",IF(SUM(#REF!,D263:G263)&gt;0,"YES","NO"))</f>
        <v>#REF!</v>
      </c>
      <c r="X263" s="14" t="e">
        <f>IF(OR(V263="NO",W263="NO",T263="AHFC",#REF!="AHFC"),"FLAG","")</f>
        <v>#REF!</v>
      </c>
      <c r="Y263" s="15" t="e">
        <f t="shared" si="62"/>
        <v>#REF!</v>
      </c>
    </row>
    <row r="264" spans="1:25" ht="12.75" hidden="1" customHeight="1" x14ac:dyDescent="0.2">
      <c r="A264" s="16">
        <v>92</v>
      </c>
      <c r="B264" s="422"/>
      <c r="C264" s="422"/>
      <c r="D264" s="453"/>
      <c r="E264" s="453"/>
      <c r="F264" s="453"/>
      <c r="G264" s="453"/>
      <c r="H264" s="422"/>
      <c r="I264" s="454"/>
      <c r="J264" s="19" t="str">
        <f>IFERROR(VLOOKUP($Q264,FeeLookup!$J$5:$L$33,2,FALSE),"")</f>
        <v/>
      </c>
      <c r="K264" s="19" t="str">
        <f>IFERROR(VLOOKUP($Q264,FeeLookup!$J$5:$L$33,3,FALSE),"")</f>
        <v/>
      </c>
      <c r="L264" s="413"/>
      <c r="M264" s="414"/>
      <c r="N264" s="5"/>
      <c r="O264" s="12" t="e">
        <f>RIGHT(#REF!,LEN(#REF!)-20)</f>
        <v>#REF!</v>
      </c>
      <c r="P264" s="12" t="str">
        <f t="shared" si="58"/>
        <v/>
      </c>
      <c r="Q264" s="13" t="e">
        <f t="shared" si="59"/>
        <v>#REF!</v>
      </c>
      <c r="R264" s="13" t="e">
        <f>IF(#REF!="","",IF(#REF!="","0",#REF!))</f>
        <v>#REF!</v>
      </c>
      <c r="S264" s="12" t="e">
        <f>IF(OR(#REF!="",J264=""),"",IF(OR((R264-#REF!)&gt;0,(I264-J264)&gt;0),"YES","NO"))</f>
        <v>#REF!</v>
      </c>
      <c r="T264" s="12" t="str">
        <f t="shared" si="60"/>
        <v/>
      </c>
      <c r="U264" s="12" t="str">
        <f t="shared" si="61"/>
        <v>YES</v>
      </c>
      <c r="V264" s="14" t="e">
        <f>IF(U264="NO","",IF(AND((COUNTBLANK(B264:B264)=0),OR(COUNTBLANK(I264)=0,COUNTBLANK(#REF!)=0),OR(COUNTBLANK(D264:G264)&lt;&gt;4,COUNTBLANK(#REF!)=0)),"YES","NO"))</f>
        <v>#REF!</v>
      </c>
      <c r="W264" s="14" t="e">
        <f>IF(U264="NO","",IF(SUM(#REF!,D264:G264)&gt;0,"YES","NO"))</f>
        <v>#REF!</v>
      </c>
      <c r="X264" s="14" t="e">
        <f>IF(OR(V264="NO",W264="NO",T264="AHFC",#REF!="AHFC"),"FLAG","")</f>
        <v>#REF!</v>
      </c>
      <c r="Y264" s="15" t="e">
        <f t="shared" si="62"/>
        <v>#REF!</v>
      </c>
    </row>
    <row r="265" spans="1:25" ht="12.75" hidden="1" customHeight="1" x14ac:dyDescent="0.2">
      <c r="A265" s="8">
        <v>93</v>
      </c>
      <c r="B265" s="161"/>
      <c r="C265" s="161"/>
      <c r="D265" s="451"/>
      <c r="E265" s="451"/>
      <c r="F265" s="451"/>
      <c r="G265" s="451"/>
      <c r="H265" s="161"/>
      <c r="I265" s="452"/>
      <c r="J265" s="20" t="str">
        <f>IFERROR(VLOOKUP($Q265,FeeLookup!$J$5:$L$33,2,FALSE),"")</f>
        <v/>
      </c>
      <c r="K265" s="20" t="str">
        <f>IFERROR(VLOOKUP($Q265,FeeLookup!$J$5:$L$33,3,FALSE),"")</f>
        <v/>
      </c>
      <c r="L265" s="413"/>
      <c r="M265" s="414"/>
      <c r="N265" s="5"/>
      <c r="O265" s="12" t="e">
        <f>RIGHT(#REF!,LEN(#REF!)-20)</f>
        <v>#REF!</v>
      </c>
      <c r="P265" s="12" t="str">
        <f t="shared" si="58"/>
        <v/>
      </c>
      <c r="Q265" s="13" t="e">
        <f t="shared" si="59"/>
        <v>#REF!</v>
      </c>
      <c r="R265" s="13" t="e">
        <f>IF(#REF!="","",IF(#REF!="","0",#REF!))</f>
        <v>#REF!</v>
      </c>
      <c r="S265" s="12" t="e">
        <f>IF(OR(#REF!="",J265=""),"",IF(OR((R265-#REF!)&gt;0,(I265-J265)&gt;0),"YES","NO"))</f>
        <v>#REF!</v>
      </c>
      <c r="T265" s="12" t="str">
        <f t="shared" si="60"/>
        <v/>
      </c>
      <c r="U265" s="12" t="str">
        <f t="shared" si="61"/>
        <v>YES</v>
      </c>
      <c r="V265" s="14" t="e">
        <f>IF(U265="NO","",IF(AND((COUNTBLANK(B265:B265)=0),OR(COUNTBLANK(I265)=0,COUNTBLANK(#REF!)=0),OR(COUNTBLANK(D265:G265)&lt;&gt;4,COUNTBLANK(#REF!)=0)),"YES","NO"))</f>
        <v>#REF!</v>
      </c>
      <c r="W265" s="14" t="e">
        <f>IF(U265="NO","",IF(SUM(#REF!,D265:G265)&gt;0,"YES","NO"))</f>
        <v>#REF!</v>
      </c>
      <c r="X265" s="14" t="e">
        <f>IF(OR(V265="NO",W265="NO",T265="AHFC",#REF!="AHFC"),"FLAG","")</f>
        <v>#REF!</v>
      </c>
      <c r="Y265" s="15" t="e">
        <f t="shared" si="62"/>
        <v>#REF!</v>
      </c>
    </row>
    <row r="266" spans="1:25" ht="12.75" hidden="1" customHeight="1" x14ac:dyDescent="0.2">
      <c r="A266" s="16">
        <v>94</v>
      </c>
      <c r="B266" s="422"/>
      <c r="C266" s="422"/>
      <c r="D266" s="453"/>
      <c r="E266" s="453"/>
      <c r="F266" s="453"/>
      <c r="G266" s="453"/>
      <c r="H266" s="422"/>
      <c r="I266" s="454"/>
      <c r="J266" s="11" t="str">
        <f>IFERROR(VLOOKUP($Q266,FeeLookup!$J$5:$L$33,2,FALSE),"")</f>
        <v/>
      </c>
      <c r="K266" s="11" t="str">
        <f>IFERROR(VLOOKUP($Q266,FeeLookup!$J$5:$L$33,3,FALSE),"")</f>
        <v/>
      </c>
      <c r="L266" s="413"/>
      <c r="M266" s="414"/>
      <c r="N266" s="5"/>
      <c r="O266" s="12" t="e">
        <f>RIGHT(#REF!,LEN(#REF!)-20)</f>
        <v>#REF!</v>
      </c>
      <c r="P266" s="12" t="str">
        <f t="shared" si="58"/>
        <v/>
      </c>
      <c r="Q266" s="13" t="e">
        <f t="shared" si="59"/>
        <v>#REF!</v>
      </c>
      <c r="R266" s="13" t="e">
        <f>IF(#REF!="","",IF(#REF!="","0",#REF!))</f>
        <v>#REF!</v>
      </c>
      <c r="S266" s="12" t="e">
        <f>IF(OR(#REF!="",J266=""),"",IF(OR((R266-#REF!)&gt;0,(I266-J266)&gt;0),"YES","NO"))</f>
        <v>#REF!</v>
      </c>
      <c r="T266" s="12" t="str">
        <f t="shared" si="60"/>
        <v/>
      </c>
      <c r="U266" s="12" t="str">
        <f t="shared" si="61"/>
        <v>YES</v>
      </c>
      <c r="V266" s="14" t="e">
        <f>IF(U266="NO","",IF(AND((COUNTBLANK(B266:B266)=0),OR(COUNTBLANK(I266)=0,COUNTBLANK(#REF!)=0),OR(COUNTBLANK(D266:G266)&lt;&gt;4,COUNTBLANK(#REF!)=0)),"YES","NO"))</f>
        <v>#REF!</v>
      </c>
      <c r="W266" s="14" t="e">
        <f>IF(U266="NO","",IF(SUM(#REF!,D266:G266)&gt;0,"YES","NO"))</f>
        <v>#REF!</v>
      </c>
      <c r="X266" s="14" t="e">
        <f>IF(OR(V266="NO",W266="NO",T266="AHFC",#REF!="AHFC"),"FLAG","")</f>
        <v>#REF!</v>
      </c>
      <c r="Y266" s="15" t="e">
        <f t="shared" si="62"/>
        <v>#REF!</v>
      </c>
    </row>
    <row r="267" spans="1:25" ht="12.75" hidden="1" customHeight="1" x14ac:dyDescent="0.2">
      <c r="A267" s="16">
        <v>95</v>
      </c>
      <c r="B267" s="422"/>
      <c r="C267" s="422"/>
      <c r="D267" s="453"/>
      <c r="E267" s="453"/>
      <c r="F267" s="453"/>
      <c r="G267" s="453"/>
      <c r="H267" s="422"/>
      <c r="I267" s="454"/>
      <c r="J267" s="11" t="str">
        <f>IFERROR(VLOOKUP($Q267,FeeLookup!$J$5:$L$33,2,FALSE),"")</f>
        <v/>
      </c>
      <c r="K267" s="11" t="str">
        <f>IFERROR(VLOOKUP($Q267,FeeLookup!$J$5:$L$33,3,FALSE),"")</f>
        <v/>
      </c>
      <c r="L267" s="413"/>
      <c r="M267" s="414"/>
      <c r="N267" s="5"/>
      <c r="O267" s="12" t="e">
        <f>RIGHT(#REF!,LEN(#REF!)-20)</f>
        <v>#REF!</v>
      </c>
      <c r="P267" s="12" t="str">
        <f t="shared" si="58"/>
        <v/>
      </c>
      <c r="Q267" s="13" t="e">
        <f t="shared" si="59"/>
        <v>#REF!</v>
      </c>
      <c r="R267" s="13" t="e">
        <f>IF(#REF!="","",IF(#REF!="","0",#REF!))</f>
        <v>#REF!</v>
      </c>
      <c r="S267" s="12" t="e">
        <f>IF(OR(#REF!="",J267=""),"",IF(OR((R267-#REF!)&gt;0,(I267-J267)&gt;0),"YES","NO"))</f>
        <v>#REF!</v>
      </c>
      <c r="T267" s="12" t="str">
        <f t="shared" si="60"/>
        <v/>
      </c>
      <c r="U267" s="12" t="str">
        <f t="shared" si="61"/>
        <v>YES</v>
      </c>
      <c r="V267" s="14" t="e">
        <f>IF(U267="NO","",IF(AND((COUNTBLANK(B267:B267)=0),OR(COUNTBLANK(I267)=0,COUNTBLANK(#REF!)=0),OR(COUNTBLANK(D267:G267)&lt;&gt;4,COUNTBLANK(#REF!)=0)),"YES","NO"))</f>
        <v>#REF!</v>
      </c>
      <c r="W267" s="14" t="e">
        <f>IF(U267="NO","",IF(SUM(#REF!,D267:G267)&gt;0,"YES","NO"))</f>
        <v>#REF!</v>
      </c>
      <c r="X267" s="14" t="e">
        <f>IF(OR(V267="NO",W267="NO",T267="AHFC",#REF!="AHFC"),"FLAG","")</f>
        <v>#REF!</v>
      </c>
      <c r="Y267" s="15" t="e">
        <f t="shared" si="62"/>
        <v>#REF!</v>
      </c>
    </row>
    <row r="268" spans="1:25" ht="12.75" hidden="1" customHeight="1" x14ac:dyDescent="0.2">
      <c r="A268" s="16">
        <v>96</v>
      </c>
      <c r="B268" s="422"/>
      <c r="C268" s="422"/>
      <c r="D268" s="453"/>
      <c r="E268" s="453"/>
      <c r="F268" s="453"/>
      <c r="G268" s="453"/>
      <c r="H268" s="422"/>
      <c r="I268" s="454"/>
      <c r="J268" s="19" t="str">
        <f>IFERROR(VLOOKUP($Q268,FeeLookup!$J$5:$L$33,2,FALSE),"")</f>
        <v/>
      </c>
      <c r="K268" s="19" t="str">
        <f>IFERROR(VLOOKUP($Q268,FeeLookup!$J$5:$L$33,3,FALSE),"")</f>
        <v/>
      </c>
      <c r="L268" s="413"/>
      <c r="M268" s="414"/>
      <c r="N268" s="5"/>
      <c r="O268" s="12" t="e">
        <f>RIGHT(#REF!,LEN(#REF!)-20)</f>
        <v>#REF!</v>
      </c>
      <c r="P268" s="12" t="str">
        <f t="shared" si="58"/>
        <v/>
      </c>
      <c r="Q268" s="13" t="e">
        <f t="shared" si="59"/>
        <v>#REF!</v>
      </c>
      <c r="R268" s="13" t="e">
        <f>IF(#REF!="","",IF(#REF!="","0",#REF!))</f>
        <v>#REF!</v>
      </c>
      <c r="S268" s="12" t="e">
        <f>IF(OR(#REF!="",J268=""),"",IF(OR((R268-#REF!)&gt;0,(I268-J268)&gt;0),"YES","NO"))</f>
        <v>#REF!</v>
      </c>
      <c r="T268" s="12" t="str">
        <f t="shared" si="60"/>
        <v/>
      </c>
      <c r="U268" s="12" t="str">
        <f t="shared" si="61"/>
        <v>YES</v>
      </c>
      <c r="V268" s="14" t="e">
        <f>IF(U268="NO","",IF(AND((COUNTBLANK(B268:B268)=0),OR(COUNTBLANK(I268)=0,COUNTBLANK(#REF!)=0),OR(COUNTBLANK(D268:G268)&lt;&gt;4,COUNTBLANK(#REF!)=0)),"YES","NO"))</f>
        <v>#REF!</v>
      </c>
      <c r="W268" s="14" t="e">
        <f>IF(U268="NO","",IF(SUM(#REF!,D268:G268)&gt;0,"YES","NO"))</f>
        <v>#REF!</v>
      </c>
      <c r="X268" s="14" t="e">
        <f>IF(OR(V268="NO",W268="NO",T268="AHFC",#REF!="AHFC"),"FLAG","")</f>
        <v>#REF!</v>
      </c>
      <c r="Y268" s="15" t="e">
        <f t="shared" si="62"/>
        <v>#REF!</v>
      </c>
    </row>
    <row r="269" spans="1:25" ht="12.75" hidden="1" customHeight="1" x14ac:dyDescent="0.2">
      <c r="A269" s="8">
        <v>97</v>
      </c>
      <c r="B269" s="161"/>
      <c r="C269" s="161"/>
      <c r="D269" s="451"/>
      <c r="E269" s="451"/>
      <c r="F269" s="451"/>
      <c r="G269" s="451"/>
      <c r="H269" s="161"/>
      <c r="I269" s="452"/>
      <c r="J269" s="20" t="str">
        <f>IFERROR(VLOOKUP($Q269,FeeLookup!$J$5:$L$33,2,FALSE),"")</f>
        <v/>
      </c>
      <c r="K269" s="20" t="str">
        <f>IFERROR(VLOOKUP($Q269,FeeLookup!$J$5:$L$33,3,FALSE),"")</f>
        <v/>
      </c>
      <c r="L269" s="413"/>
      <c r="M269" s="414"/>
      <c r="N269" s="5"/>
      <c r="O269" s="12" t="e">
        <f>RIGHT(#REF!,LEN(#REF!)-20)</f>
        <v>#REF!</v>
      </c>
      <c r="P269" s="12" t="str">
        <f t="shared" ref="P269:P300" si="63">IF(B269="","",IF(B269="Erasmus and overseas study years","LOWER",IF(B269="Sandwich course","SAND","FULL")))</f>
        <v/>
      </c>
      <c r="Q269" s="13" t="e">
        <f t="shared" si="59"/>
        <v>#REF!</v>
      </c>
      <c r="R269" s="13" t="e">
        <f>IF(#REF!="","",IF(#REF!="","0",#REF!))</f>
        <v>#REF!</v>
      </c>
      <c r="S269" s="12" t="e">
        <f>IF(OR(#REF!="",J269=""),"",IF(OR((R269-#REF!)&gt;0,(I269-J269)&gt;0),"YES","NO"))</f>
        <v>#REF!</v>
      </c>
      <c r="T269" s="12" t="str">
        <f t="shared" si="60"/>
        <v/>
      </c>
      <c r="U269" s="12" t="str">
        <f t="shared" ref="U269:U300" si="64">IF(COUNTBLANK(B269:I269)=12,"NO","YES")</f>
        <v>YES</v>
      </c>
      <c r="V269" s="14" t="e">
        <f>IF(U269="NO","",IF(AND((COUNTBLANK(B269:B269)=0),OR(COUNTBLANK(I269)=0,COUNTBLANK(#REF!)=0),OR(COUNTBLANK(D269:G269)&lt;&gt;4,COUNTBLANK(#REF!)=0)),"YES","NO"))</f>
        <v>#REF!</v>
      </c>
      <c r="W269" s="14" t="e">
        <f>IF(U269="NO","",IF(SUM(#REF!,D269:G269)&gt;0,"YES","NO"))</f>
        <v>#REF!</v>
      </c>
      <c r="X269" s="14" t="e">
        <f>IF(OR(V269="NO",W269="NO",T269="AHFC",#REF!="AHFC"),"FLAG","")</f>
        <v>#REF!</v>
      </c>
      <c r="Y269" s="15" t="e">
        <f t="shared" si="62"/>
        <v>#REF!</v>
      </c>
    </row>
    <row r="270" spans="1:25" ht="12.75" hidden="1" customHeight="1" x14ac:dyDescent="0.2">
      <c r="A270" s="16">
        <v>98</v>
      </c>
      <c r="B270" s="422"/>
      <c r="C270" s="422"/>
      <c r="D270" s="453"/>
      <c r="E270" s="453"/>
      <c r="F270" s="453"/>
      <c r="G270" s="453"/>
      <c r="H270" s="422"/>
      <c r="I270" s="454"/>
      <c r="J270" s="11" t="str">
        <f>IFERROR(VLOOKUP($Q270,FeeLookup!$J$5:$L$33,2,FALSE),"")</f>
        <v/>
      </c>
      <c r="K270" s="11" t="str">
        <f>IFERROR(VLOOKUP($Q270,FeeLookup!$J$5:$L$33,3,FALSE),"")</f>
        <v/>
      </c>
      <c r="L270" s="413"/>
      <c r="M270" s="414"/>
      <c r="N270" s="5"/>
      <c r="O270" s="12" t="e">
        <f>RIGHT(#REF!,LEN(#REF!)-20)</f>
        <v>#REF!</v>
      </c>
      <c r="P270" s="12" t="str">
        <f t="shared" si="63"/>
        <v/>
      </c>
      <c r="Q270" s="13" t="e">
        <f t="shared" si="59"/>
        <v>#REF!</v>
      </c>
      <c r="R270" s="13" t="e">
        <f>IF(#REF!="","",IF(#REF!="","0",#REF!))</f>
        <v>#REF!</v>
      </c>
      <c r="S270" s="12" t="e">
        <f>IF(OR(#REF!="",J270=""),"",IF(OR((R270-#REF!)&gt;0,(I270-J270)&gt;0),"YES","NO"))</f>
        <v>#REF!</v>
      </c>
      <c r="T270" s="12" t="str">
        <f t="shared" si="60"/>
        <v/>
      </c>
      <c r="U270" s="12" t="str">
        <f t="shared" si="64"/>
        <v>YES</v>
      </c>
      <c r="V270" s="14" t="e">
        <f>IF(U270="NO","",IF(AND((COUNTBLANK(B270:B270)=0),OR(COUNTBLANK(I270)=0,COUNTBLANK(#REF!)=0),OR(COUNTBLANK(D270:G270)&lt;&gt;4,COUNTBLANK(#REF!)=0)),"YES","NO"))</f>
        <v>#REF!</v>
      </c>
      <c r="W270" s="14" t="e">
        <f>IF(U270="NO","",IF(SUM(#REF!,D270:G270)&gt;0,"YES","NO"))</f>
        <v>#REF!</v>
      </c>
      <c r="X270" s="14" t="e">
        <f>IF(OR(V270="NO",W270="NO",T270="AHFC",#REF!="AHFC"),"FLAG","")</f>
        <v>#REF!</v>
      </c>
      <c r="Y270" s="15" t="e">
        <f t="shared" si="62"/>
        <v>#REF!</v>
      </c>
    </row>
    <row r="271" spans="1:25" ht="12.75" hidden="1" customHeight="1" x14ac:dyDescent="0.2">
      <c r="A271" s="16">
        <v>99</v>
      </c>
      <c r="B271" s="422"/>
      <c r="C271" s="422"/>
      <c r="D271" s="453"/>
      <c r="E271" s="453"/>
      <c r="F271" s="453"/>
      <c r="G271" s="453"/>
      <c r="H271" s="422"/>
      <c r="I271" s="454"/>
      <c r="J271" s="11" t="str">
        <f>IFERROR(VLOOKUP($Q271,FeeLookup!$J$5:$L$33,2,FALSE),"")</f>
        <v/>
      </c>
      <c r="K271" s="11" t="str">
        <f>IFERROR(VLOOKUP($Q271,FeeLookup!$J$5:$L$33,3,FALSE),"")</f>
        <v/>
      </c>
      <c r="L271" s="413"/>
      <c r="M271" s="414"/>
      <c r="N271" s="5"/>
      <c r="O271" s="12" t="e">
        <f>RIGHT(#REF!,LEN(#REF!)-20)</f>
        <v>#REF!</v>
      </c>
      <c r="P271" s="12" t="str">
        <f t="shared" si="63"/>
        <v/>
      </c>
      <c r="Q271" s="13" t="e">
        <f t="shared" si="59"/>
        <v>#REF!</v>
      </c>
      <c r="R271" s="13" t="e">
        <f>IF(#REF!="","",IF(#REF!="","0",#REF!))</f>
        <v>#REF!</v>
      </c>
      <c r="S271" s="12" t="e">
        <f>IF(OR(#REF!="",J271=""),"",IF(OR((R271-#REF!)&gt;0,(I271-J271)&gt;0),"YES","NO"))</f>
        <v>#REF!</v>
      </c>
      <c r="T271" s="12" t="str">
        <f t="shared" si="60"/>
        <v/>
      </c>
      <c r="U271" s="12" t="str">
        <f t="shared" si="64"/>
        <v>YES</v>
      </c>
      <c r="V271" s="14" t="e">
        <f>IF(U271="NO","",IF(AND((COUNTBLANK(B271:B271)=0),OR(COUNTBLANK(I271)=0,COUNTBLANK(#REF!)=0),OR(COUNTBLANK(D271:G271)&lt;&gt;4,COUNTBLANK(#REF!)=0)),"YES","NO"))</f>
        <v>#REF!</v>
      </c>
      <c r="W271" s="14" t="e">
        <f>IF(U271="NO","",IF(SUM(#REF!,D271:G271)&gt;0,"YES","NO"))</f>
        <v>#REF!</v>
      </c>
      <c r="X271" s="14" t="e">
        <f>IF(OR(V271="NO",W271="NO",T271="AHFC",#REF!="AHFC"),"FLAG","")</f>
        <v>#REF!</v>
      </c>
      <c r="Y271" s="15" t="e">
        <f t="shared" si="62"/>
        <v>#REF!</v>
      </c>
    </row>
    <row r="272" spans="1:25" ht="12.75" hidden="1" customHeight="1" x14ac:dyDescent="0.2">
      <c r="A272" s="16">
        <v>100</v>
      </c>
      <c r="B272" s="422"/>
      <c r="C272" s="422"/>
      <c r="D272" s="453"/>
      <c r="E272" s="453"/>
      <c r="F272" s="453"/>
      <c r="G272" s="453"/>
      <c r="H272" s="422"/>
      <c r="I272" s="454"/>
      <c r="J272" s="19" t="str">
        <f>IFERROR(VLOOKUP($Q272,FeeLookup!$J$5:$L$33,2,FALSE),"")</f>
        <v/>
      </c>
      <c r="K272" s="19" t="str">
        <f>IFERROR(VLOOKUP($Q272,FeeLookup!$J$5:$L$33,3,FALSE),"")</f>
        <v/>
      </c>
      <c r="L272" s="413"/>
      <c r="M272" s="414"/>
      <c r="N272" s="5"/>
      <c r="O272" s="12" t="e">
        <f>RIGHT(#REF!,LEN(#REF!)-20)</f>
        <v>#REF!</v>
      </c>
      <c r="P272" s="12" t="str">
        <f t="shared" si="63"/>
        <v/>
      </c>
      <c r="Q272" s="13" t="e">
        <f t="shared" si="59"/>
        <v>#REF!</v>
      </c>
      <c r="R272" s="13" t="e">
        <f>IF(#REF!="","",IF(#REF!="","0",#REF!))</f>
        <v>#REF!</v>
      </c>
      <c r="S272" s="12" t="e">
        <f>IF(OR(#REF!="",J272=""),"",IF(OR((R272-#REF!)&gt;0,(I272-J272)&gt;0),"YES","NO"))</f>
        <v>#REF!</v>
      </c>
      <c r="T272" s="12" t="str">
        <f t="shared" si="60"/>
        <v/>
      </c>
      <c r="U272" s="12" t="str">
        <f t="shared" si="64"/>
        <v>YES</v>
      </c>
      <c r="V272" s="14" t="e">
        <f>IF(U272="NO","",IF(AND((COUNTBLANK(B272:B272)=0),OR(COUNTBLANK(I272)=0,COUNTBLANK(#REF!)=0),OR(COUNTBLANK(D272:G272)&lt;&gt;4,COUNTBLANK(#REF!)=0)),"YES","NO"))</f>
        <v>#REF!</v>
      </c>
      <c r="W272" s="14" t="e">
        <f>IF(U272="NO","",IF(SUM(#REF!,D272:G272)&gt;0,"YES","NO"))</f>
        <v>#REF!</v>
      </c>
      <c r="X272" s="14" t="e">
        <f>IF(OR(V272="NO",W272="NO",T272="AHFC",#REF!="AHFC"),"FLAG","")</f>
        <v>#REF!</v>
      </c>
      <c r="Y272" s="15" t="e">
        <f t="shared" si="62"/>
        <v>#REF!</v>
      </c>
    </row>
    <row r="273" spans="1:25" ht="12.75" hidden="1" customHeight="1" x14ac:dyDescent="0.2">
      <c r="A273" s="8">
        <v>101</v>
      </c>
      <c r="B273" s="161"/>
      <c r="C273" s="161"/>
      <c r="D273" s="451"/>
      <c r="E273" s="451"/>
      <c r="F273" s="451"/>
      <c r="G273" s="451"/>
      <c r="H273" s="161"/>
      <c r="I273" s="452"/>
      <c r="J273" s="20" t="str">
        <f>IFERROR(VLOOKUP($Q273,FeeLookup!$J$5:$L$33,2,FALSE),"")</f>
        <v/>
      </c>
      <c r="K273" s="20" t="str">
        <f>IFERROR(VLOOKUP($Q273,FeeLookup!$J$5:$L$33,3,FALSE),"")</f>
        <v/>
      </c>
      <c r="L273" s="413"/>
      <c r="M273" s="414"/>
      <c r="N273" s="5"/>
      <c r="O273" s="12" t="e">
        <f>RIGHT(#REF!,LEN(#REF!)-20)</f>
        <v>#REF!</v>
      </c>
      <c r="P273" s="12" t="str">
        <f t="shared" si="63"/>
        <v/>
      </c>
      <c r="Q273" s="13" t="e">
        <f t="shared" si="59"/>
        <v>#REF!</v>
      </c>
      <c r="R273" s="13" t="e">
        <f>IF(#REF!="","",IF(#REF!="","0",#REF!))</f>
        <v>#REF!</v>
      </c>
      <c r="S273" s="12" t="e">
        <f>IF(OR(#REF!="",J273=""),"",IF(OR((R273-#REF!)&gt;0,(I273-J273)&gt;0),"YES","NO"))</f>
        <v>#REF!</v>
      </c>
      <c r="T273" s="12" t="str">
        <f t="shared" si="60"/>
        <v/>
      </c>
      <c r="U273" s="12" t="str">
        <f t="shared" si="64"/>
        <v>YES</v>
      </c>
      <c r="V273" s="14" t="e">
        <f>IF(U273="NO","",IF(AND((COUNTBLANK(B273:B273)=0),OR(COUNTBLANK(I273)=0,COUNTBLANK(#REF!)=0),OR(COUNTBLANK(D273:G273)&lt;&gt;4,COUNTBLANK(#REF!)=0)),"YES","NO"))</f>
        <v>#REF!</v>
      </c>
      <c r="W273" s="14" t="e">
        <f>IF(U273="NO","",IF(SUM(#REF!,D273:G273)&gt;0,"YES","NO"))</f>
        <v>#REF!</v>
      </c>
      <c r="X273" s="14" t="e">
        <f>IF(OR(V273="NO",W273="NO",T273="AHFC",#REF!="AHFC"),"FLAG","")</f>
        <v>#REF!</v>
      </c>
      <c r="Y273" s="15" t="e">
        <f t="shared" si="62"/>
        <v>#REF!</v>
      </c>
    </row>
    <row r="274" spans="1:25" ht="12.75" hidden="1" customHeight="1" x14ac:dyDescent="0.2">
      <c r="A274" s="16">
        <v>102</v>
      </c>
      <c r="B274" s="422"/>
      <c r="C274" s="422"/>
      <c r="D274" s="453"/>
      <c r="E274" s="453"/>
      <c r="F274" s="453"/>
      <c r="G274" s="453"/>
      <c r="H274" s="422"/>
      <c r="I274" s="454"/>
      <c r="J274" s="11" t="str">
        <f>IFERROR(VLOOKUP($Q274,FeeLookup!$J$5:$L$33,2,FALSE),"")</f>
        <v/>
      </c>
      <c r="K274" s="11" t="str">
        <f>IFERROR(VLOOKUP($Q274,FeeLookup!$J$5:$L$33,3,FALSE),"")</f>
        <v/>
      </c>
      <c r="L274" s="413"/>
      <c r="M274" s="414"/>
      <c r="N274" s="5"/>
      <c r="O274" s="12" t="e">
        <f>RIGHT(#REF!,LEN(#REF!)-20)</f>
        <v>#REF!</v>
      </c>
      <c r="P274" s="12" t="str">
        <f t="shared" si="63"/>
        <v/>
      </c>
      <c r="Q274" s="13" t="e">
        <f t="shared" si="59"/>
        <v>#REF!</v>
      </c>
      <c r="R274" s="13" t="e">
        <f>IF(#REF!="","",IF(#REF!="","0",#REF!))</f>
        <v>#REF!</v>
      </c>
      <c r="S274" s="12" t="e">
        <f>IF(OR(#REF!="",J274=""),"",IF(OR((R274-#REF!)&gt;0,(I274-J274)&gt;0),"YES","NO"))</f>
        <v>#REF!</v>
      </c>
      <c r="T274" s="12" t="str">
        <f t="shared" si="60"/>
        <v/>
      </c>
      <c r="U274" s="12" t="str">
        <f t="shared" si="64"/>
        <v>YES</v>
      </c>
      <c r="V274" s="14" t="e">
        <f>IF(U274="NO","",IF(AND((COUNTBLANK(B274:B274)=0),OR(COUNTBLANK(I274)=0,COUNTBLANK(#REF!)=0),OR(COUNTBLANK(D274:G274)&lt;&gt;4,COUNTBLANK(#REF!)=0)),"YES","NO"))</f>
        <v>#REF!</v>
      </c>
      <c r="W274" s="14" t="e">
        <f>IF(U274="NO","",IF(SUM(#REF!,D274:G274)&gt;0,"YES","NO"))</f>
        <v>#REF!</v>
      </c>
      <c r="X274" s="14" t="e">
        <f>IF(OR(V274="NO",W274="NO",T274="AHFC",#REF!="AHFC"),"FLAG","")</f>
        <v>#REF!</v>
      </c>
      <c r="Y274" s="15" t="e">
        <f t="shared" si="62"/>
        <v>#REF!</v>
      </c>
    </row>
    <row r="275" spans="1:25" ht="12.75" hidden="1" customHeight="1" x14ac:dyDescent="0.2">
      <c r="A275" s="16">
        <v>103</v>
      </c>
      <c r="B275" s="422"/>
      <c r="C275" s="422"/>
      <c r="D275" s="453"/>
      <c r="E275" s="453"/>
      <c r="F275" s="453"/>
      <c r="G275" s="453"/>
      <c r="H275" s="422"/>
      <c r="I275" s="454"/>
      <c r="J275" s="11" t="str">
        <f>IFERROR(VLOOKUP($Q275,FeeLookup!$J$5:$L$33,2,FALSE),"")</f>
        <v/>
      </c>
      <c r="K275" s="11" t="str">
        <f>IFERROR(VLOOKUP($Q275,FeeLookup!$J$5:$L$33,3,FALSE),"")</f>
        <v/>
      </c>
      <c r="L275" s="413"/>
      <c r="M275" s="414"/>
      <c r="N275" s="5"/>
      <c r="O275" s="12" t="e">
        <f>RIGHT(#REF!,LEN(#REF!)-20)</f>
        <v>#REF!</v>
      </c>
      <c r="P275" s="12" t="str">
        <f t="shared" si="63"/>
        <v/>
      </c>
      <c r="Q275" s="13" t="e">
        <f t="shared" si="59"/>
        <v>#REF!</v>
      </c>
      <c r="R275" s="13" t="e">
        <f>IF(#REF!="","",IF(#REF!="","0",#REF!))</f>
        <v>#REF!</v>
      </c>
      <c r="S275" s="12" t="e">
        <f>IF(OR(#REF!="",J275=""),"",IF(OR((R275-#REF!)&gt;0,(I275-J275)&gt;0),"YES","NO"))</f>
        <v>#REF!</v>
      </c>
      <c r="T275" s="12" t="str">
        <f t="shared" si="60"/>
        <v/>
      </c>
      <c r="U275" s="12" t="str">
        <f t="shared" si="64"/>
        <v>YES</v>
      </c>
      <c r="V275" s="14" t="e">
        <f>IF(U275="NO","",IF(AND((COUNTBLANK(B275:B275)=0),OR(COUNTBLANK(I275)=0,COUNTBLANK(#REF!)=0),OR(COUNTBLANK(D275:G275)&lt;&gt;4,COUNTBLANK(#REF!)=0)),"YES","NO"))</f>
        <v>#REF!</v>
      </c>
      <c r="W275" s="14" t="e">
        <f>IF(U275="NO","",IF(SUM(#REF!,D275:G275)&gt;0,"YES","NO"))</f>
        <v>#REF!</v>
      </c>
      <c r="X275" s="14" t="e">
        <f>IF(OR(V275="NO",W275="NO",T275="AHFC",#REF!="AHFC"),"FLAG","")</f>
        <v>#REF!</v>
      </c>
      <c r="Y275" s="15" t="e">
        <f t="shared" si="62"/>
        <v>#REF!</v>
      </c>
    </row>
    <row r="276" spans="1:25" ht="12.75" hidden="1" customHeight="1" x14ac:dyDescent="0.2">
      <c r="A276" s="16">
        <v>104</v>
      </c>
      <c r="B276" s="422"/>
      <c r="C276" s="422"/>
      <c r="D276" s="453"/>
      <c r="E276" s="453"/>
      <c r="F276" s="453"/>
      <c r="G276" s="453"/>
      <c r="H276" s="422"/>
      <c r="I276" s="454"/>
      <c r="J276" s="19" t="str">
        <f>IFERROR(VLOOKUP($Q276,FeeLookup!$J$5:$L$33,2,FALSE),"")</f>
        <v/>
      </c>
      <c r="K276" s="19" t="str">
        <f>IFERROR(VLOOKUP($Q276,FeeLookup!$J$5:$L$33,3,FALSE),"")</f>
        <v/>
      </c>
      <c r="L276" s="413"/>
      <c r="M276" s="414"/>
      <c r="N276" s="5"/>
      <c r="O276" s="12" t="e">
        <f>RIGHT(#REF!,LEN(#REF!)-20)</f>
        <v>#REF!</v>
      </c>
      <c r="P276" s="12" t="str">
        <f t="shared" si="63"/>
        <v/>
      </c>
      <c r="Q276" s="13" t="e">
        <f t="shared" si="59"/>
        <v>#REF!</v>
      </c>
      <c r="R276" s="13" t="e">
        <f>IF(#REF!="","",IF(#REF!="","0",#REF!))</f>
        <v>#REF!</v>
      </c>
      <c r="S276" s="12" t="e">
        <f>IF(OR(#REF!="",J276=""),"",IF(OR((R276-#REF!)&gt;0,(I276-J276)&gt;0),"YES","NO"))</f>
        <v>#REF!</v>
      </c>
      <c r="T276" s="12" t="str">
        <f t="shared" si="60"/>
        <v/>
      </c>
      <c r="U276" s="12" t="str">
        <f t="shared" si="64"/>
        <v>YES</v>
      </c>
      <c r="V276" s="14" t="e">
        <f>IF(U276="NO","",IF(AND((COUNTBLANK(B276:B276)=0),OR(COUNTBLANK(I276)=0,COUNTBLANK(#REF!)=0),OR(COUNTBLANK(D276:G276)&lt;&gt;4,COUNTBLANK(#REF!)=0)),"YES","NO"))</f>
        <v>#REF!</v>
      </c>
      <c r="W276" s="14" t="e">
        <f>IF(U276="NO","",IF(SUM(#REF!,D276:G276)&gt;0,"YES","NO"))</f>
        <v>#REF!</v>
      </c>
      <c r="X276" s="14" t="e">
        <f>IF(OR(V276="NO",W276="NO",T276="AHFC",#REF!="AHFC"),"FLAG","")</f>
        <v>#REF!</v>
      </c>
      <c r="Y276" s="15" t="e">
        <f t="shared" si="62"/>
        <v>#REF!</v>
      </c>
    </row>
    <row r="277" spans="1:25" ht="12.75" hidden="1" customHeight="1" x14ac:dyDescent="0.2">
      <c r="A277" s="8">
        <v>105</v>
      </c>
      <c r="B277" s="161"/>
      <c r="C277" s="161"/>
      <c r="D277" s="451"/>
      <c r="E277" s="451"/>
      <c r="F277" s="451"/>
      <c r="G277" s="451"/>
      <c r="H277" s="161"/>
      <c r="I277" s="452"/>
      <c r="J277" s="20" t="str">
        <f>IFERROR(VLOOKUP($Q277,FeeLookup!$J$5:$L$33,2,FALSE),"")</f>
        <v/>
      </c>
      <c r="K277" s="20" t="str">
        <f>IFERROR(VLOOKUP($Q277,FeeLookup!$J$5:$L$33,3,FALSE),"")</f>
        <v/>
      </c>
      <c r="L277" s="413"/>
      <c r="M277" s="414"/>
      <c r="N277" s="5"/>
      <c r="O277" s="12" t="e">
        <f>RIGHT(#REF!,LEN(#REF!)-20)</f>
        <v>#REF!</v>
      </c>
      <c r="P277" s="12" t="str">
        <f t="shared" si="63"/>
        <v/>
      </c>
      <c r="Q277" s="13" t="e">
        <f t="shared" si="59"/>
        <v>#REF!</v>
      </c>
      <c r="R277" s="13" t="e">
        <f>IF(#REF!="","",IF(#REF!="","0",#REF!))</f>
        <v>#REF!</v>
      </c>
      <c r="S277" s="12" t="e">
        <f>IF(OR(#REF!="",J277=""),"",IF(OR((R277-#REF!)&gt;0,(I277-J277)&gt;0),"YES","NO"))</f>
        <v>#REF!</v>
      </c>
      <c r="T277" s="12" t="str">
        <f t="shared" si="60"/>
        <v/>
      </c>
      <c r="U277" s="12" t="str">
        <f t="shared" si="64"/>
        <v>YES</v>
      </c>
      <c r="V277" s="14" t="e">
        <f>IF(U277="NO","",IF(AND((COUNTBLANK(B277:B277)=0),OR(COUNTBLANK(I277)=0,COUNTBLANK(#REF!)=0),OR(COUNTBLANK(D277:G277)&lt;&gt;4,COUNTBLANK(#REF!)=0)),"YES","NO"))</f>
        <v>#REF!</v>
      </c>
      <c r="W277" s="14" t="e">
        <f>IF(U277="NO","",IF(SUM(#REF!,D277:G277)&gt;0,"YES","NO"))</f>
        <v>#REF!</v>
      </c>
      <c r="X277" s="14" t="e">
        <f>IF(OR(V277="NO",W277="NO",T277="AHFC",#REF!="AHFC"),"FLAG","")</f>
        <v>#REF!</v>
      </c>
      <c r="Y277" s="15" t="e">
        <f t="shared" si="62"/>
        <v>#REF!</v>
      </c>
    </row>
    <row r="278" spans="1:25" ht="12.75" hidden="1" customHeight="1" x14ac:dyDescent="0.2">
      <c r="A278" s="16">
        <v>106</v>
      </c>
      <c r="B278" s="422"/>
      <c r="C278" s="422"/>
      <c r="D278" s="453"/>
      <c r="E278" s="453"/>
      <c r="F278" s="453"/>
      <c r="G278" s="453"/>
      <c r="H278" s="422"/>
      <c r="I278" s="454"/>
      <c r="J278" s="11" t="str">
        <f>IFERROR(VLOOKUP($Q278,FeeLookup!$J$5:$L$33,2,FALSE),"")</f>
        <v/>
      </c>
      <c r="K278" s="11" t="str">
        <f>IFERROR(VLOOKUP($Q278,FeeLookup!$J$5:$L$33,3,FALSE),"")</f>
        <v/>
      </c>
      <c r="L278" s="413"/>
      <c r="M278" s="414"/>
      <c r="N278" s="5"/>
      <c r="O278" s="12" t="e">
        <f>RIGHT(#REF!,LEN(#REF!)-20)</f>
        <v>#REF!</v>
      </c>
      <c r="P278" s="12" t="str">
        <f t="shared" si="63"/>
        <v/>
      </c>
      <c r="Q278" s="13" t="e">
        <f t="shared" si="59"/>
        <v>#REF!</v>
      </c>
      <c r="R278" s="13" t="e">
        <f>IF(#REF!="","",IF(#REF!="","0",#REF!))</f>
        <v>#REF!</v>
      </c>
      <c r="S278" s="12" t="e">
        <f>IF(OR(#REF!="",J278=""),"",IF(OR((R278-#REF!)&gt;0,(I278-J278)&gt;0),"YES","NO"))</f>
        <v>#REF!</v>
      </c>
      <c r="T278" s="12" t="str">
        <f t="shared" si="60"/>
        <v/>
      </c>
      <c r="U278" s="12" t="str">
        <f t="shared" si="64"/>
        <v>YES</v>
      </c>
      <c r="V278" s="14" t="e">
        <f>IF(U278="NO","",IF(AND((COUNTBLANK(B278:B278)=0),OR(COUNTBLANK(I278)=0,COUNTBLANK(#REF!)=0),OR(COUNTBLANK(D278:G278)&lt;&gt;4,COUNTBLANK(#REF!)=0)),"YES","NO"))</f>
        <v>#REF!</v>
      </c>
      <c r="W278" s="14" t="e">
        <f>IF(U278="NO","",IF(SUM(#REF!,D278:G278)&gt;0,"YES","NO"))</f>
        <v>#REF!</v>
      </c>
      <c r="X278" s="14" t="e">
        <f>IF(OR(V278="NO",W278="NO",T278="AHFC",#REF!="AHFC"),"FLAG","")</f>
        <v>#REF!</v>
      </c>
      <c r="Y278" s="15" t="e">
        <f t="shared" si="62"/>
        <v>#REF!</v>
      </c>
    </row>
    <row r="279" spans="1:25" ht="12.75" hidden="1" customHeight="1" x14ac:dyDescent="0.2">
      <c r="A279" s="16">
        <v>107</v>
      </c>
      <c r="B279" s="422"/>
      <c r="C279" s="422"/>
      <c r="D279" s="453"/>
      <c r="E279" s="453"/>
      <c r="F279" s="453"/>
      <c r="G279" s="453"/>
      <c r="H279" s="422"/>
      <c r="I279" s="454"/>
      <c r="J279" s="11" t="str">
        <f>IFERROR(VLOOKUP($Q279,FeeLookup!$J$5:$L$33,2,FALSE),"")</f>
        <v/>
      </c>
      <c r="K279" s="11" t="str">
        <f>IFERROR(VLOOKUP($Q279,FeeLookup!$J$5:$L$33,3,FALSE),"")</f>
        <v/>
      </c>
      <c r="L279" s="413"/>
      <c r="M279" s="414"/>
      <c r="N279" s="5"/>
      <c r="O279" s="12" t="e">
        <f>RIGHT(#REF!,LEN(#REF!)-20)</f>
        <v>#REF!</v>
      </c>
      <c r="P279" s="12" t="str">
        <f t="shared" si="63"/>
        <v/>
      </c>
      <c r="Q279" s="13" t="e">
        <f t="shared" si="59"/>
        <v>#REF!</v>
      </c>
      <c r="R279" s="13" t="e">
        <f>IF(#REF!="","",IF(#REF!="","0",#REF!))</f>
        <v>#REF!</v>
      </c>
      <c r="S279" s="12" t="e">
        <f>IF(OR(#REF!="",J279=""),"",IF(OR((R279-#REF!)&gt;0,(I279-J279)&gt;0),"YES","NO"))</f>
        <v>#REF!</v>
      </c>
      <c r="T279" s="12" t="str">
        <f t="shared" si="60"/>
        <v/>
      </c>
      <c r="U279" s="12" t="str">
        <f t="shared" si="64"/>
        <v>YES</v>
      </c>
      <c r="V279" s="14" t="e">
        <f>IF(U279="NO","",IF(AND((COUNTBLANK(B279:B279)=0),OR(COUNTBLANK(I279)=0,COUNTBLANK(#REF!)=0),OR(COUNTBLANK(D279:G279)&lt;&gt;4,COUNTBLANK(#REF!)=0)),"YES","NO"))</f>
        <v>#REF!</v>
      </c>
      <c r="W279" s="14" t="e">
        <f>IF(U279="NO","",IF(SUM(#REF!,D279:G279)&gt;0,"YES","NO"))</f>
        <v>#REF!</v>
      </c>
      <c r="X279" s="14" t="e">
        <f>IF(OR(V279="NO",W279="NO",T279="AHFC",#REF!="AHFC"),"FLAG","")</f>
        <v>#REF!</v>
      </c>
      <c r="Y279" s="15" t="e">
        <f t="shared" si="62"/>
        <v>#REF!</v>
      </c>
    </row>
    <row r="280" spans="1:25" ht="12.75" hidden="1" customHeight="1" x14ac:dyDescent="0.2">
      <c r="A280" s="16">
        <v>108</v>
      </c>
      <c r="B280" s="422"/>
      <c r="C280" s="422"/>
      <c r="D280" s="453"/>
      <c r="E280" s="453"/>
      <c r="F280" s="453"/>
      <c r="G280" s="453"/>
      <c r="H280" s="422"/>
      <c r="I280" s="454"/>
      <c r="J280" s="19" t="str">
        <f>IFERROR(VLOOKUP($Q280,FeeLookup!$J$5:$L$33,2,FALSE),"")</f>
        <v/>
      </c>
      <c r="K280" s="19" t="str">
        <f>IFERROR(VLOOKUP($Q280,FeeLookup!$J$5:$L$33,3,FALSE),"")</f>
        <v/>
      </c>
      <c r="L280" s="413"/>
      <c r="M280" s="414"/>
      <c r="N280" s="5"/>
      <c r="O280" s="12" t="e">
        <f>RIGHT(#REF!,LEN(#REF!)-20)</f>
        <v>#REF!</v>
      </c>
      <c r="P280" s="12" t="str">
        <f t="shared" si="63"/>
        <v/>
      </c>
      <c r="Q280" s="13" t="e">
        <f t="shared" si="59"/>
        <v>#REF!</v>
      </c>
      <c r="R280" s="13" t="e">
        <f>IF(#REF!="","",IF(#REF!="","0",#REF!))</f>
        <v>#REF!</v>
      </c>
      <c r="S280" s="12" t="e">
        <f>IF(OR(#REF!="",J280=""),"",IF(OR((R280-#REF!)&gt;0,(I280-J280)&gt;0),"YES","NO"))</f>
        <v>#REF!</v>
      </c>
      <c r="T280" s="12" t="str">
        <f t="shared" si="60"/>
        <v/>
      </c>
      <c r="U280" s="12" t="str">
        <f t="shared" si="64"/>
        <v>YES</v>
      </c>
      <c r="V280" s="14" t="e">
        <f>IF(U280="NO","",IF(AND((COUNTBLANK(B280:B280)=0),OR(COUNTBLANK(I280)=0,COUNTBLANK(#REF!)=0),OR(COUNTBLANK(D280:G280)&lt;&gt;4,COUNTBLANK(#REF!)=0)),"YES","NO"))</f>
        <v>#REF!</v>
      </c>
      <c r="W280" s="14" t="e">
        <f>IF(U280="NO","",IF(SUM(#REF!,D280:G280)&gt;0,"YES","NO"))</f>
        <v>#REF!</v>
      </c>
      <c r="X280" s="14" t="e">
        <f>IF(OR(V280="NO",W280="NO",T280="AHFC",#REF!="AHFC"),"FLAG","")</f>
        <v>#REF!</v>
      </c>
      <c r="Y280" s="15" t="e">
        <f t="shared" si="62"/>
        <v>#REF!</v>
      </c>
    </row>
    <row r="281" spans="1:25" ht="12.75" hidden="1" customHeight="1" x14ac:dyDescent="0.2">
      <c r="A281" s="8">
        <v>109</v>
      </c>
      <c r="B281" s="161"/>
      <c r="C281" s="161"/>
      <c r="D281" s="451"/>
      <c r="E281" s="451"/>
      <c r="F281" s="451"/>
      <c r="G281" s="451"/>
      <c r="H281" s="161"/>
      <c r="I281" s="452"/>
      <c r="J281" s="20" t="str">
        <f>IFERROR(VLOOKUP($Q281,FeeLookup!$J$5:$L$33,2,FALSE),"")</f>
        <v/>
      </c>
      <c r="K281" s="20" t="str">
        <f>IFERROR(VLOOKUP($Q281,FeeLookup!$J$5:$L$33,3,FALSE),"")</f>
        <v/>
      </c>
      <c r="L281" s="413"/>
      <c r="M281" s="414"/>
      <c r="N281" s="5"/>
      <c r="O281" s="12" t="e">
        <f>RIGHT(#REF!,LEN(#REF!)-20)</f>
        <v>#REF!</v>
      </c>
      <c r="P281" s="12" t="str">
        <f t="shared" si="63"/>
        <v/>
      </c>
      <c r="Q281" s="13" t="e">
        <f t="shared" si="59"/>
        <v>#REF!</v>
      </c>
      <c r="R281" s="13" t="e">
        <f>IF(#REF!="","",IF(#REF!="","0",#REF!))</f>
        <v>#REF!</v>
      </c>
      <c r="S281" s="12" t="e">
        <f>IF(OR(#REF!="",J281=""),"",IF(OR((R281-#REF!)&gt;0,(I281-J281)&gt;0),"YES","NO"))</f>
        <v>#REF!</v>
      </c>
      <c r="T281" s="12" t="str">
        <f t="shared" si="60"/>
        <v/>
      </c>
      <c r="U281" s="12" t="str">
        <f t="shared" si="64"/>
        <v>YES</v>
      </c>
      <c r="V281" s="14" t="e">
        <f>IF(U281="NO","",IF(AND((COUNTBLANK(B281:B281)=0),OR(COUNTBLANK(I281)=0,COUNTBLANK(#REF!)=0),OR(COUNTBLANK(D281:G281)&lt;&gt;4,COUNTBLANK(#REF!)=0)),"YES","NO"))</f>
        <v>#REF!</v>
      </c>
      <c r="W281" s="14" t="e">
        <f>IF(U281="NO","",IF(SUM(#REF!,D281:G281)&gt;0,"YES","NO"))</f>
        <v>#REF!</v>
      </c>
      <c r="X281" s="14" t="e">
        <f>IF(OR(V281="NO",W281="NO",T281="AHFC",#REF!="AHFC"),"FLAG","")</f>
        <v>#REF!</v>
      </c>
      <c r="Y281" s="15" t="e">
        <f t="shared" si="62"/>
        <v>#REF!</v>
      </c>
    </row>
    <row r="282" spans="1:25" ht="12.75" hidden="1" customHeight="1" x14ac:dyDescent="0.2">
      <c r="A282" s="16">
        <v>110</v>
      </c>
      <c r="B282" s="422"/>
      <c r="C282" s="422"/>
      <c r="D282" s="453"/>
      <c r="E282" s="453"/>
      <c r="F282" s="453"/>
      <c r="G282" s="453"/>
      <c r="H282" s="422"/>
      <c r="I282" s="454"/>
      <c r="J282" s="11" t="str">
        <f>IFERROR(VLOOKUP($Q282,FeeLookup!$J$5:$L$33,2,FALSE),"")</f>
        <v/>
      </c>
      <c r="K282" s="11" t="str">
        <f>IFERROR(VLOOKUP($Q282,FeeLookup!$J$5:$L$33,3,FALSE),"")</f>
        <v/>
      </c>
      <c r="L282" s="413"/>
      <c r="M282" s="414"/>
      <c r="N282" s="5"/>
      <c r="O282" s="12" t="e">
        <f>RIGHT(#REF!,LEN(#REF!)-20)</f>
        <v>#REF!</v>
      </c>
      <c r="P282" s="12" t="str">
        <f t="shared" si="63"/>
        <v/>
      </c>
      <c r="Q282" s="13" t="e">
        <f t="shared" si="59"/>
        <v>#REF!</v>
      </c>
      <c r="R282" s="13" t="e">
        <f>IF(#REF!="","",IF(#REF!="","0",#REF!))</f>
        <v>#REF!</v>
      </c>
      <c r="S282" s="12" t="e">
        <f>IF(OR(#REF!="",J282=""),"",IF(OR((R282-#REF!)&gt;0,(I282-J282)&gt;0),"YES","NO"))</f>
        <v>#REF!</v>
      </c>
      <c r="T282" s="12" t="str">
        <f t="shared" si="60"/>
        <v/>
      </c>
      <c r="U282" s="12" t="str">
        <f t="shared" si="64"/>
        <v>YES</v>
      </c>
      <c r="V282" s="14" t="e">
        <f>IF(U282="NO","",IF(AND((COUNTBLANK(B282:B282)=0),OR(COUNTBLANK(I282)=0,COUNTBLANK(#REF!)=0),OR(COUNTBLANK(D282:G282)&lt;&gt;4,COUNTBLANK(#REF!)=0)),"YES","NO"))</f>
        <v>#REF!</v>
      </c>
      <c r="W282" s="14" t="e">
        <f>IF(U282="NO","",IF(SUM(#REF!,D282:G282)&gt;0,"YES","NO"))</f>
        <v>#REF!</v>
      </c>
      <c r="X282" s="14" t="e">
        <f>IF(OR(V282="NO",W282="NO",T282="AHFC",#REF!="AHFC"),"FLAG","")</f>
        <v>#REF!</v>
      </c>
      <c r="Y282" s="15" t="e">
        <f t="shared" si="62"/>
        <v>#REF!</v>
      </c>
    </row>
    <row r="283" spans="1:25" ht="12.75" hidden="1" customHeight="1" x14ac:dyDescent="0.2">
      <c r="A283" s="16">
        <v>111</v>
      </c>
      <c r="B283" s="422"/>
      <c r="C283" s="422"/>
      <c r="D283" s="453"/>
      <c r="E283" s="453"/>
      <c r="F283" s="453"/>
      <c r="G283" s="453"/>
      <c r="H283" s="422"/>
      <c r="I283" s="454"/>
      <c r="J283" s="11" t="str">
        <f>IFERROR(VLOOKUP($Q283,FeeLookup!$J$5:$L$33,2,FALSE),"")</f>
        <v/>
      </c>
      <c r="K283" s="11" t="str">
        <f>IFERROR(VLOOKUP($Q283,FeeLookup!$J$5:$L$33,3,FALSE),"")</f>
        <v/>
      </c>
      <c r="L283" s="413"/>
      <c r="M283" s="414"/>
      <c r="N283" s="5"/>
      <c r="O283" s="12" t="e">
        <f>RIGHT(#REF!,LEN(#REF!)-20)</f>
        <v>#REF!</v>
      </c>
      <c r="P283" s="12" t="str">
        <f t="shared" si="63"/>
        <v/>
      </c>
      <c r="Q283" s="13" t="e">
        <f t="shared" si="59"/>
        <v>#REF!</v>
      </c>
      <c r="R283" s="13" t="e">
        <f>IF(#REF!="","",IF(#REF!="","0",#REF!))</f>
        <v>#REF!</v>
      </c>
      <c r="S283" s="12" t="e">
        <f>IF(OR(#REF!="",J283=""),"",IF(OR((R283-#REF!)&gt;0,(I283-J283)&gt;0),"YES","NO"))</f>
        <v>#REF!</v>
      </c>
      <c r="T283" s="12" t="str">
        <f t="shared" si="60"/>
        <v/>
      </c>
      <c r="U283" s="12" t="str">
        <f t="shared" si="64"/>
        <v>YES</v>
      </c>
      <c r="V283" s="14" t="e">
        <f>IF(U283="NO","",IF(AND((COUNTBLANK(B283:B283)=0),OR(COUNTBLANK(I283)=0,COUNTBLANK(#REF!)=0),OR(COUNTBLANK(D283:G283)&lt;&gt;4,COUNTBLANK(#REF!)=0)),"YES","NO"))</f>
        <v>#REF!</v>
      </c>
      <c r="W283" s="14" t="e">
        <f>IF(U283="NO","",IF(SUM(#REF!,D283:G283)&gt;0,"YES","NO"))</f>
        <v>#REF!</v>
      </c>
      <c r="X283" s="14" t="e">
        <f>IF(OR(V283="NO",W283="NO",T283="AHFC",#REF!="AHFC"),"FLAG","")</f>
        <v>#REF!</v>
      </c>
      <c r="Y283" s="15" t="e">
        <f t="shared" si="62"/>
        <v>#REF!</v>
      </c>
    </row>
    <row r="284" spans="1:25" ht="12.75" hidden="1" customHeight="1" x14ac:dyDescent="0.2">
      <c r="A284" s="16">
        <v>112</v>
      </c>
      <c r="B284" s="422"/>
      <c r="C284" s="422"/>
      <c r="D284" s="453"/>
      <c r="E284" s="453"/>
      <c r="F284" s="453"/>
      <c r="G284" s="453"/>
      <c r="H284" s="422"/>
      <c r="I284" s="454"/>
      <c r="J284" s="19" t="str">
        <f>IFERROR(VLOOKUP($Q284,FeeLookup!$J$5:$L$33,2,FALSE),"")</f>
        <v/>
      </c>
      <c r="K284" s="19" t="str">
        <f>IFERROR(VLOOKUP($Q284,FeeLookup!$J$5:$L$33,3,FALSE),"")</f>
        <v/>
      </c>
      <c r="L284" s="413"/>
      <c r="M284" s="414"/>
      <c r="N284" s="5"/>
      <c r="O284" s="12" t="e">
        <f>RIGHT(#REF!,LEN(#REF!)-20)</f>
        <v>#REF!</v>
      </c>
      <c r="P284" s="12" t="str">
        <f t="shared" si="63"/>
        <v/>
      </c>
      <c r="Q284" s="13" t="e">
        <f t="shared" si="59"/>
        <v>#REF!</v>
      </c>
      <c r="R284" s="13" t="e">
        <f>IF(#REF!="","",IF(#REF!="","0",#REF!))</f>
        <v>#REF!</v>
      </c>
      <c r="S284" s="12" t="e">
        <f>IF(OR(#REF!="",J284=""),"",IF(OR((R284-#REF!)&gt;0,(I284-J284)&gt;0),"YES","NO"))</f>
        <v>#REF!</v>
      </c>
      <c r="T284" s="12" t="str">
        <f t="shared" si="60"/>
        <v/>
      </c>
      <c r="U284" s="12" t="str">
        <f t="shared" si="64"/>
        <v>YES</v>
      </c>
      <c r="V284" s="14" t="e">
        <f>IF(U284="NO","",IF(AND((COUNTBLANK(B284:B284)=0),OR(COUNTBLANK(I284)=0,COUNTBLANK(#REF!)=0),OR(COUNTBLANK(D284:G284)&lt;&gt;4,COUNTBLANK(#REF!)=0)),"YES","NO"))</f>
        <v>#REF!</v>
      </c>
      <c r="W284" s="14" t="e">
        <f>IF(U284="NO","",IF(SUM(#REF!,D284:G284)&gt;0,"YES","NO"))</f>
        <v>#REF!</v>
      </c>
      <c r="X284" s="14" t="e">
        <f>IF(OR(V284="NO",W284="NO",T284="AHFC",#REF!="AHFC"),"FLAG","")</f>
        <v>#REF!</v>
      </c>
      <c r="Y284" s="15" t="e">
        <f t="shared" si="62"/>
        <v>#REF!</v>
      </c>
    </row>
    <row r="285" spans="1:25" ht="12.75" hidden="1" customHeight="1" x14ac:dyDescent="0.2">
      <c r="A285" s="8">
        <v>113</v>
      </c>
      <c r="B285" s="161"/>
      <c r="C285" s="161"/>
      <c r="D285" s="451"/>
      <c r="E285" s="451"/>
      <c r="F285" s="451"/>
      <c r="G285" s="451"/>
      <c r="H285" s="161"/>
      <c r="I285" s="452"/>
      <c r="J285" s="20" t="str">
        <f>IFERROR(VLOOKUP($Q285,FeeLookup!$J$5:$L$33,2,FALSE),"")</f>
        <v/>
      </c>
      <c r="K285" s="20" t="str">
        <f>IFERROR(VLOOKUP($Q285,FeeLookup!$J$5:$L$33,3,FALSE),"")</f>
        <v/>
      </c>
      <c r="L285" s="413"/>
      <c r="M285" s="414"/>
      <c r="N285" s="5"/>
      <c r="O285" s="12" t="e">
        <f>RIGHT(#REF!,LEN(#REF!)-20)</f>
        <v>#REF!</v>
      </c>
      <c r="P285" s="12" t="str">
        <f t="shared" si="63"/>
        <v/>
      </c>
      <c r="Q285" s="13" t="e">
        <f t="shared" si="59"/>
        <v>#REF!</v>
      </c>
      <c r="R285" s="13" t="e">
        <f>IF(#REF!="","",IF(#REF!="","0",#REF!))</f>
        <v>#REF!</v>
      </c>
      <c r="S285" s="12" t="e">
        <f>IF(OR(#REF!="",J285=""),"",IF(OR((R285-#REF!)&gt;0,(I285-J285)&gt;0),"YES","NO"))</f>
        <v>#REF!</v>
      </c>
      <c r="T285" s="12" t="str">
        <f t="shared" si="60"/>
        <v/>
      </c>
      <c r="U285" s="12" t="str">
        <f t="shared" si="64"/>
        <v>YES</v>
      </c>
      <c r="V285" s="14" t="e">
        <f>IF(U285="NO","",IF(AND((COUNTBLANK(B285:B285)=0),OR(COUNTBLANK(I285)=0,COUNTBLANK(#REF!)=0),OR(COUNTBLANK(D285:G285)&lt;&gt;4,COUNTBLANK(#REF!)=0)),"YES","NO"))</f>
        <v>#REF!</v>
      </c>
      <c r="W285" s="14" t="e">
        <f>IF(U285="NO","",IF(SUM(#REF!,D285:G285)&gt;0,"YES","NO"))</f>
        <v>#REF!</v>
      </c>
      <c r="X285" s="14" t="e">
        <f>IF(OR(V285="NO",W285="NO",T285="AHFC",#REF!="AHFC"),"FLAG","")</f>
        <v>#REF!</v>
      </c>
      <c r="Y285" s="15" t="e">
        <f t="shared" si="62"/>
        <v>#REF!</v>
      </c>
    </row>
    <row r="286" spans="1:25" ht="12.75" hidden="1" customHeight="1" x14ac:dyDescent="0.2">
      <c r="A286" s="16">
        <v>114</v>
      </c>
      <c r="B286" s="422"/>
      <c r="C286" s="422"/>
      <c r="D286" s="453"/>
      <c r="E286" s="453"/>
      <c r="F286" s="453"/>
      <c r="G286" s="453"/>
      <c r="H286" s="422"/>
      <c r="I286" s="454"/>
      <c r="J286" s="11" t="str">
        <f>IFERROR(VLOOKUP($Q286,FeeLookup!$J$5:$L$33,2,FALSE),"")</f>
        <v/>
      </c>
      <c r="K286" s="11" t="str">
        <f>IFERROR(VLOOKUP($Q286,FeeLookup!$J$5:$L$33,3,FALSE),"")</f>
        <v/>
      </c>
      <c r="L286" s="413"/>
      <c r="M286" s="414"/>
      <c r="N286" s="5"/>
      <c r="O286" s="12" t="e">
        <f>RIGHT(#REF!,LEN(#REF!)-20)</f>
        <v>#REF!</v>
      </c>
      <c r="P286" s="12" t="str">
        <f t="shared" si="63"/>
        <v/>
      </c>
      <c r="Q286" s="13" t="e">
        <f t="shared" si="59"/>
        <v>#REF!</v>
      </c>
      <c r="R286" s="13" t="e">
        <f>IF(#REF!="","",IF(#REF!="","0",#REF!))</f>
        <v>#REF!</v>
      </c>
      <c r="S286" s="12" t="e">
        <f>IF(OR(#REF!="",J286=""),"",IF(OR((R286-#REF!)&gt;0,(I286-J286)&gt;0),"YES","NO"))</f>
        <v>#REF!</v>
      </c>
      <c r="T286" s="12" t="str">
        <f t="shared" si="60"/>
        <v/>
      </c>
      <c r="U286" s="12" t="str">
        <f t="shared" si="64"/>
        <v>YES</v>
      </c>
      <c r="V286" s="14" t="e">
        <f>IF(U286="NO","",IF(AND((COUNTBLANK(B286:B286)=0),OR(COUNTBLANK(I286)=0,COUNTBLANK(#REF!)=0),OR(COUNTBLANK(D286:G286)&lt;&gt;4,COUNTBLANK(#REF!)=0)),"YES","NO"))</f>
        <v>#REF!</v>
      </c>
      <c r="W286" s="14" t="e">
        <f>IF(U286="NO","",IF(SUM(#REF!,D286:G286)&gt;0,"YES","NO"))</f>
        <v>#REF!</v>
      </c>
      <c r="X286" s="14" t="e">
        <f>IF(OR(V286="NO",W286="NO",T286="AHFC",#REF!="AHFC"),"FLAG","")</f>
        <v>#REF!</v>
      </c>
      <c r="Y286" s="15" t="e">
        <f t="shared" si="62"/>
        <v>#REF!</v>
      </c>
    </row>
    <row r="287" spans="1:25" ht="12.75" hidden="1" customHeight="1" x14ac:dyDescent="0.2">
      <c r="A287" s="16">
        <v>115</v>
      </c>
      <c r="B287" s="422"/>
      <c r="C287" s="422"/>
      <c r="D287" s="453"/>
      <c r="E287" s="453"/>
      <c r="F287" s="453"/>
      <c r="G287" s="453"/>
      <c r="H287" s="422"/>
      <c r="I287" s="454"/>
      <c r="J287" s="11" t="str">
        <f>IFERROR(VLOOKUP($Q287,FeeLookup!$J$5:$L$33,2,FALSE),"")</f>
        <v/>
      </c>
      <c r="K287" s="11" t="str">
        <f>IFERROR(VLOOKUP($Q287,FeeLookup!$J$5:$L$33,3,FALSE),"")</f>
        <v/>
      </c>
      <c r="L287" s="413"/>
      <c r="M287" s="414"/>
      <c r="N287" s="5"/>
      <c r="O287" s="12" t="e">
        <f>RIGHT(#REF!,LEN(#REF!)-20)</f>
        <v>#REF!</v>
      </c>
      <c r="P287" s="12" t="str">
        <f t="shared" si="63"/>
        <v/>
      </c>
      <c r="Q287" s="13" t="e">
        <f t="shared" si="59"/>
        <v>#REF!</v>
      </c>
      <c r="R287" s="13" t="e">
        <f>IF(#REF!="","",IF(#REF!="","0",#REF!))</f>
        <v>#REF!</v>
      </c>
      <c r="S287" s="12" t="e">
        <f>IF(OR(#REF!="",J287=""),"",IF(OR((R287-#REF!)&gt;0,(I287-J287)&gt;0),"YES","NO"))</f>
        <v>#REF!</v>
      </c>
      <c r="T287" s="12" t="str">
        <f t="shared" si="60"/>
        <v/>
      </c>
      <c r="U287" s="12" t="str">
        <f t="shared" si="64"/>
        <v>YES</v>
      </c>
      <c r="V287" s="14" t="e">
        <f>IF(U287="NO","",IF(AND((COUNTBLANK(B287:B287)=0),OR(COUNTBLANK(I287)=0,COUNTBLANK(#REF!)=0),OR(COUNTBLANK(D287:G287)&lt;&gt;4,COUNTBLANK(#REF!)=0)),"YES","NO"))</f>
        <v>#REF!</v>
      </c>
      <c r="W287" s="14" t="e">
        <f>IF(U287="NO","",IF(SUM(#REF!,D287:G287)&gt;0,"YES","NO"))</f>
        <v>#REF!</v>
      </c>
      <c r="X287" s="14" t="e">
        <f>IF(OR(V287="NO",W287="NO",T287="AHFC",#REF!="AHFC"),"FLAG","")</f>
        <v>#REF!</v>
      </c>
      <c r="Y287" s="15" t="e">
        <f t="shared" si="62"/>
        <v>#REF!</v>
      </c>
    </row>
    <row r="288" spans="1:25" ht="12.75" hidden="1" customHeight="1" x14ac:dyDescent="0.2">
      <c r="A288" s="16">
        <v>116</v>
      </c>
      <c r="B288" s="422"/>
      <c r="C288" s="422"/>
      <c r="D288" s="453"/>
      <c r="E288" s="453"/>
      <c r="F288" s="453"/>
      <c r="G288" s="453"/>
      <c r="H288" s="422"/>
      <c r="I288" s="454"/>
      <c r="J288" s="19" t="str">
        <f>IFERROR(VLOOKUP($Q288,FeeLookup!$J$5:$L$33,2,FALSE),"")</f>
        <v/>
      </c>
      <c r="K288" s="19" t="str">
        <f>IFERROR(VLOOKUP($Q288,FeeLookup!$J$5:$L$33,3,FALSE),"")</f>
        <v/>
      </c>
      <c r="L288" s="413"/>
      <c r="M288" s="414"/>
      <c r="N288" s="5"/>
      <c r="O288" s="12" t="e">
        <f>RIGHT(#REF!,LEN(#REF!)-20)</f>
        <v>#REF!</v>
      </c>
      <c r="P288" s="12" t="str">
        <f t="shared" si="63"/>
        <v/>
      </c>
      <c r="Q288" s="13" t="e">
        <f t="shared" si="59"/>
        <v>#REF!</v>
      </c>
      <c r="R288" s="13" t="e">
        <f>IF(#REF!="","",IF(#REF!="","0",#REF!))</f>
        <v>#REF!</v>
      </c>
      <c r="S288" s="12" t="e">
        <f>IF(OR(#REF!="",J288=""),"",IF(OR((R288-#REF!)&gt;0,(I288-J288)&gt;0),"YES","NO"))</f>
        <v>#REF!</v>
      </c>
      <c r="T288" s="12" t="str">
        <f t="shared" si="60"/>
        <v/>
      </c>
      <c r="U288" s="12" t="str">
        <f t="shared" si="64"/>
        <v>YES</v>
      </c>
      <c r="V288" s="14" t="e">
        <f>IF(U288="NO","",IF(AND((COUNTBLANK(B288:B288)=0),OR(COUNTBLANK(I288)=0,COUNTBLANK(#REF!)=0),OR(COUNTBLANK(D288:G288)&lt;&gt;4,COUNTBLANK(#REF!)=0)),"YES","NO"))</f>
        <v>#REF!</v>
      </c>
      <c r="W288" s="14" t="e">
        <f>IF(U288="NO","",IF(SUM(#REF!,D288:G288)&gt;0,"YES","NO"))</f>
        <v>#REF!</v>
      </c>
      <c r="X288" s="14" t="e">
        <f>IF(OR(V288="NO",W288="NO",T288="AHFC",#REF!="AHFC"),"FLAG","")</f>
        <v>#REF!</v>
      </c>
      <c r="Y288" s="15" t="e">
        <f t="shared" si="62"/>
        <v>#REF!</v>
      </c>
    </row>
    <row r="289" spans="1:25" ht="12.75" hidden="1" customHeight="1" x14ac:dyDescent="0.2">
      <c r="A289" s="8">
        <v>117</v>
      </c>
      <c r="B289" s="161"/>
      <c r="C289" s="161"/>
      <c r="D289" s="451"/>
      <c r="E289" s="451"/>
      <c r="F289" s="451"/>
      <c r="G289" s="451"/>
      <c r="H289" s="161"/>
      <c r="I289" s="452"/>
      <c r="J289" s="20" t="str">
        <f>IFERROR(VLOOKUP($Q289,FeeLookup!$J$5:$L$33,2,FALSE),"")</f>
        <v/>
      </c>
      <c r="K289" s="20" t="str">
        <f>IFERROR(VLOOKUP($Q289,FeeLookup!$J$5:$L$33,3,FALSE),"")</f>
        <v/>
      </c>
      <c r="L289" s="413"/>
      <c r="M289" s="414"/>
      <c r="N289" s="5"/>
      <c r="O289" s="12" t="e">
        <f>RIGHT(#REF!,LEN(#REF!)-20)</f>
        <v>#REF!</v>
      </c>
      <c r="P289" s="12" t="str">
        <f t="shared" si="63"/>
        <v/>
      </c>
      <c r="Q289" s="13" t="e">
        <f t="shared" si="59"/>
        <v>#REF!</v>
      </c>
      <c r="R289" s="13" t="e">
        <f>IF(#REF!="","",IF(#REF!="","0",#REF!))</f>
        <v>#REF!</v>
      </c>
      <c r="S289" s="12" t="e">
        <f>IF(OR(#REF!="",J289=""),"",IF(OR((R289-#REF!)&gt;0,(I289-J289)&gt;0),"YES","NO"))</f>
        <v>#REF!</v>
      </c>
      <c r="T289" s="12" t="str">
        <f t="shared" si="60"/>
        <v/>
      </c>
      <c r="U289" s="12" t="str">
        <f t="shared" si="64"/>
        <v>YES</v>
      </c>
      <c r="V289" s="14" t="e">
        <f>IF(U289="NO","",IF(AND((COUNTBLANK(B289:B289)=0),OR(COUNTBLANK(I289)=0,COUNTBLANK(#REF!)=0),OR(COUNTBLANK(D289:G289)&lt;&gt;4,COUNTBLANK(#REF!)=0)),"YES","NO"))</f>
        <v>#REF!</v>
      </c>
      <c r="W289" s="14" t="e">
        <f>IF(U289="NO","",IF(SUM(#REF!,D289:G289)&gt;0,"YES","NO"))</f>
        <v>#REF!</v>
      </c>
      <c r="X289" s="14" t="e">
        <f>IF(OR(V289="NO",W289="NO",T289="AHFC",#REF!="AHFC"),"FLAG","")</f>
        <v>#REF!</v>
      </c>
      <c r="Y289" s="15" t="e">
        <f t="shared" si="62"/>
        <v>#REF!</v>
      </c>
    </row>
    <row r="290" spans="1:25" ht="12.75" hidden="1" customHeight="1" x14ac:dyDescent="0.2">
      <c r="A290" s="16">
        <v>118</v>
      </c>
      <c r="B290" s="422"/>
      <c r="C290" s="422"/>
      <c r="D290" s="453"/>
      <c r="E290" s="453"/>
      <c r="F290" s="453"/>
      <c r="G290" s="453"/>
      <c r="H290" s="422"/>
      <c r="I290" s="454"/>
      <c r="J290" s="11" t="str">
        <f>IFERROR(VLOOKUP($Q290,FeeLookup!$J$5:$L$33,2,FALSE),"")</f>
        <v/>
      </c>
      <c r="K290" s="11" t="str">
        <f>IFERROR(VLOOKUP($Q290,FeeLookup!$J$5:$L$33,3,FALSE),"")</f>
        <v/>
      </c>
      <c r="L290" s="413"/>
      <c r="M290" s="414"/>
      <c r="N290" s="5"/>
      <c r="O290" s="12" t="e">
        <f>RIGHT(#REF!,LEN(#REF!)-20)</f>
        <v>#REF!</v>
      </c>
      <c r="P290" s="12" t="str">
        <f t="shared" si="63"/>
        <v/>
      </c>
      <c r="Q290" s="13" t="e">
        <f t="shared" si="59"/>
        <v>#REF!</v>
      </c>
      <c r="R290" s="13" t="e">
        <f>IF(#REF!="","",IF(#REF!="","0",#REF!))</f>
        <v>#REF!</v>
      </c>
      <c r="S290" s="12" t="e">
        <f>IF(OR(#REF!="",J290=""),"",IF(OR((R290-#REF!)&gt;0,(I290-J290)&gt;0),"YES","NO"))</f>
        <v>#REF!</v>
      </c>
      <c r="T290" s="12" t="str">
        <f t="shared" si="60"/>
        <v/>
      </c>
      <c r="U290" s="12" t="str">
        <f t="shared" si="64"/>
        <v>YES</v>
      </c>
      <c r="V290" s="14" t="e">
        <f>IF(U290="NO","",IF(AND((COUNTBLANK(B290:B290)=0),OR(COUNTBLANK(I290)=0,COUNTBLANK(#REF!)=0),OR(COUNTBLANK(D290:G290)&lt;&gt;4,COUNTBLANK(#REF!)=0)),"YES","NO"))</f>
        <v>#REF!</v>
      </c>
      <c r="W290" s="14" t="e">
        <f>IF(U290="NO","",IF(SUM(#REF!,D290:G290)&gt;0,"YES","NO"))</f>
        <v>#REF!</v>
      </c>
      <c r="X290" s="14" t="e">
        <f>IF(OR(V290="NO",W290="NO",T290="AHFC",#REF!="AHFC"),"FLAG","")</f>
        <v>#REF!</v>
      </c>
      <c r="Y290" s="15" t="e">
        <f t="shared" si="62"/>
        <v>#REF!</v>
      </c>
    </row>
    <row r="291" spans="1:25" ht="12.75" hidden="1" customHeight="1" x14ac:dyDescent="0.2">
      <c r="A291" s="16">
        <v>119</v>
      </c>
      <c r="B291" s="422"/>
      <c r="C291" s="422"/>
      <c r="D291" s="453"/>
      <c r="E291" s="453"/>
      <c r="F291" s="453"/>
      <c r="G291" s="453"/>
      <c r="H291" s="422"/>
      <c r="I291" s="454"/>
      <c r="J291" s="11" t="str">
        <f>IFERROR(VLOOKUP($Q291,FeeLookup!$J$5:$L$33,2,FALSE),"")</f>
        <v/>
      </c>
      <c r="K291" s="11" t="str">
        <f>IFERROR(VLOOKUP($Q291,FeeLookup!$J$5:$L$33,3,FALSE),"")</f>
        <v/>
      </c>
      <c r="L291" s="413"/>
      <c r="M291" s="414"/>
      <c r="N291" s="5"/>
      <c r="O291" s="12" t="e">
        <f>RIGHT(#REF!,LEN(#REF!)-20)</f>
        <v>#REF!</v>
      </c>
      <c r="P291" s="12" t="str">
        <f t="shared" si="63"/>
        <v/>
      </c>
      <c r="Q291" s="13" t="e">
        <f t="shared" si="59"/>
        <v>#REF!</v>
      </c>
      <c r="R291" s="13" t="e">
        <f>IF(#REF!="","",IF(#REF!="","0",#REF!))</f>
        <v>#REF!</v>
      </c>
      <c r="S291" s="12" t="e">
        <f>IF(OR(#REF!="",J291=""),"",IF(OR((R291-#REF!)&gt;0,(I291-J291)&gt;0),"YES","NO"))</f>
        <v>#REF!</v>
      </c>
      <c r="T291" s="12" t="str">
        <f t="shared" si="60"/>
        <v/>
      </c>
      <c r="U291" s="12" t="str">
        <f t="shared" si="64"/>
        <v>YES</v>
      </c>
      <c r="V291" s="14" t="e">
        <f>IF(U291="NO","",IF(AND((COUNTBLANK(B291:B291)=0),OR(COUNTBLANK(I291)=0,COUNTBLANK(#REF!)=0),OR(COUNTBLANK(D291:G291)&lt;&gt;4,COUNTBLANK(#REF!)=0)),"YES","NO"))</f>
        <v>#REF!</v>
      </c>
      <c r="W291" s="14" t="e">
        <f>IF(U291="NO","",IF(SUM(#REF!,D291:G291)&gt;0,"YES","NO"))</f>
        <v>#REF!</v>
      </c>
      <c r="X291" s="14" t="e">
        <f>IF(OR(V291="NO",W291="NO",T291="AHFC",#REF!="AHFC"),"FLAG","")</f>
        <v>#REF!</v>
      </c>
      <c r="Y291" s="15" t="e">
        <f t="shared" si="62"/>
        <v>#REF!</v>
      </c>
    </row>
    <row r="292" spans="1:25" ht="12.75" hidden="1" customHeight="1" x14ac:dyDescent="0.2">
      <c r="A292" s="16">
        <v>120</v>
      </c>
      <c r="B292" s="422"/>
      <c r="C292" s="422"/>
      <c r="D292" s="453"/>
      <c r="E292" s="453"/>
      <c r="F292" s="453"/>
      <c r="G292" s="453"/>
      <c r="H292" s="422"/>
      <c r="I292" s="454"/>
      <c r="J292" s="19" t="str">
        <f>IFERROR(VLOOKUP($Q292,FeeLookup!$J$5:$L$33,2,FALSE),"")</f>
        <v/>
      </c>
      <c r="K292" s="19" t="str">
        <f>IFERROR(VLOOKUP($Q292,FeeLookup!$J$5:$L$33,3,FALSE),"")</f>
        <v/>
      </c>
      <c r="L292" s="413"/>
      <c r="M292" s="414"/>
      <c r="N292" s="5"/>
      <c r="O292" s="12" t="e">
        <f>RIGHT(#REF!,LEN(#REF!)-20)</f>
        <v>#REF!</v>
      </c>
      <c r="P292" s="12" t="str">
        <f t="shared" si="63"/>
        <v/>
      </c>
      <c r="Q292" s="13" t="e">
        <f t="shared" si="59"/>
        <v>#REF!</v>
      </c>
      <c r="R292" s="13" t="e">
        <f>IF(#REF!="","",IF(#REF!="","0",#REF!))</f>
        <v>#REF!</v>
      </c>
      <c r="S292" s="12" t="e">
        <f>IF(OR(#REF!="",J292=""),"",IF(OR((R292-#REF!)&gt;0,(I292-J292)&gt;0),"YES","NO"))</f>
        <v>#REF!</v>
      </c>
      <c r="T292" s="12" t="str">
        <f t="shared" si="60"/>
        <v/>
      </c>
      <c r="U292" s="12" t="str">
        <f t="shared" si="64"/>
        <v>YES</v>
      </c>
      <c r="V292" s="14" t="e">
        <f>IF(U292="NO","",IF(AND((COUNTBLANK(B292:B292)=0),OR(COUNTBLANK(I292)=0,COUNTBLANK(#REF!)=0),OR(COUNTBLANK(D292:G292)&lt;&gt;4,COUNTBLANK(#REF!)=0)),"YES","NO"))</f>
        <v>#REF!</v>
      </c>
      <c r="W292" s="14" t="e">
        <f>IF(U292="NO","",IF(SUM(#REF!,D292:G292)&gt;0,"YES","NO"))</f>
        <v>#REF!</v>
      </c>
      <c r="X292" s="14" t="e">
        <f>IF(OR(V292="NO",W292="NO",T292="AHFC",#REF!="AHFC"),"FLAG","")</f>
        <v>#REF!</v>
      </c>
      <c r="Y292" s="15" t="e">
        <f t="shared" si="62"/>
        <v>#REF!</v>
      </c>
    </row>
    <row r="293" spans="1:25" ht="12.75" hidden="1" customHeight="1" x14ac:dyDescent="0.2">
      <c r="A293" s="8">
        <v>121</v>
      </c>
      <c r="B293" s="161"/>
      <c r="C293" s="161"/>
      <c r="D293" s="451"/>
      <c r="E293" s="451"/>
      <c r="F293" s="451"/>
      <c r="G293" s="451"/>
      <c r="H293" s="161"/>
      <c r="I293" s="452"/>
      <c r="J293" s="20" t="str">
        <f>IFERROR(VLOOKUP($Q293,FeeLookup!$J$5:$L$33,2,FALSE),"")</f>
        <v/>
      </c>
      <c r="K293" s="20" t="str">
        <f>IFERROR(VLOOKUP($Q293,FeeLookup!$J$5:$L$33,3,FALSE),"")</f>
        <v/>
      </c>
      <c r="L293" s="413"/>
      <c r="M293" s="414"/>
      <c r="N293" s="5"/>
      <c r="O293" s="12" t="e">
        <f>RIGHT(#REF!,LEN(#REF!)-20)</f>
        <v>#REF!</v>
      </c>
      <c r="P293" s="12" t="str">
        <f t="shared" si="63"/>
        <v/>
      </c>
      <c r="Q293" s="13" t="e">
        <f t="shared" si="59"/>
        <v>#REF!</v>
      </c>
      <c r="R293" s="13" t="e">
        <f>IF(#REF!="","",IF(#REF!="","0",#REF!))</f>
        <v>#REF!</v>
      </c>
      <c r="S293" s="12" t="e">
        <f>IF(OR(#REF!="",J293=""),"",IF(OR((R293-#REF!)&gt;0,(I293-J293)&gt;0),"YES","NO"))</f>
        <v>#REF!</v>
      </c>
      <c r="T293" s="12" t="str">
        <f t="shared" si="60"/>
        <v/>
      </c>
      <c r="U293" s="12" t="str">
        <f t="shared" si="64"/>
        <v>YES</v>
      </c>
      <c r="V293" s="14" t="e">
        <f>IF(U293="NO","",IF(AND((COUNTBLANK(B293:B293)=0),OR(COUNTBLANK(I293)=0,COUNTBLANK(#REF!)=0),OR(COUNTBLANK(D293:G293)&lt;&gt;4,COUNTBLANK(#REF!)=0)),"YES","NO"))</f>
        <v>#REF!</v>
      </c>
      <c r="W293" s="14" t="e">
        <f>IF(U293="NO","",IF(SUM(#REF!,D293:G293)&gt;0,"YES","NO"))</f>
        <v>#REF!</v>
      </c>
      <c r="X293" s="14" t="e">
        <f>IF(OR(V293="NO",W293="NO",T293="AHFC",#REF!="AHFC"),"FLAG","")</f>
        <v>#REF!</v>
      </c>
      <c r="Y293" s="15" t="e">
        <f t="shared" si="62"/>
        <v>#REF!</v>
      </c>
    </row>
    <row r="294" spans="1:25" ht="12.75" hidden="1" customHeight="1" x14ac:dyDescent="0.2">
      <c r="A294" s="16">
        <v>122</v>
      </c>
      <c r="B294" s="422"/>
      <c r="C294" s="422"/>
      <c r="D294" s="453"/>
      <c r="E294" s="453"/>
      <c r="F294" s="453"/>
      <c r="G294" s="453"/>
      <c r="H294" s="422"/>
      <c r="I294" s="454"/>
      <c r="J294" s="11" t="str">
        <f>IFERROR(VLOOKUP($Q294,FeeLookup!$J$5:$L$33,2,FALSE),"")</f>
        <v/>
      </c>
      <c r="K294" s="11" t="str">
        <f>IFERROR(VLOOKUP($Q294,FeeLookup!$J$5:$L$33,3,FALSE),"")</f>
        <v/>
      </c>
      <c r="L294" s="413"/>
      <c r="M294" s="414"/>
      <c r="N294" s="5"/>
      <c r="O294" s="12" t="e">
        <f>RIGHT(#REF!,LEN(#REF!)-20)</f>
        <v>#REF!</v>
      </c>
      <c r="P294" s="12" t="str">
        <f t="shared" si="63"/>
        <v/>
      </c>
      <c r="Q294" s="13" t="e">
        <f t="shared" si="59"/>
        <v>#REF!</v>
      </c>
      <c r="R294" s="13" t="e">
        <f>IF(#REF!="","",IF(#REF!="","0",#REF!))</f>
        <v>#REF!</v>
      </c>
      <c r="S294" s="12" t="e">
        <f>IF(OR(#REF!="",J294=""),"",IF(OR((R294-#REF!)&gt;0,(I294-J294)&gt;0),"YES","NO"))</f>
        <v>#REF!</v>
      </c>
      <c r="T294" s="12" t="str">
        <f t="shared" si="60"/>
        <v/>
      </c>
      <c r="U294" s="12" t="str">
        <f t="shared" si="64"/>
        <v>YES</v>
      </c>
      <c r="V294" s="14" t="e">
        <f>IF(U294="NO","",IF(AND((COUNTBLANK(B294:B294)=0),OR(COUNTBLANK(I294)=0,COUNTBLANK(#REF!)=0),OR(COUNTBLANK(D294:G294)&lt;&gt;4,COUNTBLANK(#REF!)=0)),"YES","NO"))</f>
        <v>#REF!</v>
      </c>
      <c r="W294" s="14" t="e">
        <f>IF(U294="NO","",IF(SUM(#REF!,D294:G294)&gt;0,"YES","NO"))</f>
        <v>#REF!</v>
      </c>
      <c r="X294" s="14" t="e">
        <f>IF(OR(V294="NO",W294="NO",T294="AHFC",#REF!="AHFC"),"FLAG","")</f>
        <v>#REF!</v>
      </c>
      <c r="Y294" s="15" t="e">
        <f t="shared" si="62"/>
        <v>#REF!</v>
      </c>
    </row>
    <row r="295" spans="1:25" ht="12.75" hidden="1" customHeight="1" x14ac:dyDescent="0.2">
      <c r="A295" s="16">
        <v>123</v>
      </c>
      <c r="B295" s="422"/>
      <c r="C295" s="422"/>
      <c r="D295" s="453"/>
      <c r="E295" s="453"/>
      <c r="F295" s="453"/>
      <c r="G295" s="453"/>
      <c r="H295" s="422"/>
      <c r="I295" s="454"/>
      <c r="J295" s="11" t="str">
        <f>IFERROR(VLOOKUP($Q295,FeeLookup!$J$5:$L$33,2,FALSE),"")</f>
        <v/>
      </c>
      <c r="K295" s="11" t="str">
        <f>IFERROR(VLOOKUP($Q295,FeeLookup!$J$5:$L$33,3,FALSE),"")</f>
        <v/>
      </c>
      <c r="L295" s="413"/>
      <c r="M295" s="414"/>
      <c r="N295" s="5"/>
      <c r="O295" s="12" t="e">
        <f>RIGHT(#REF!,LEN(#REF!)-20)</f>
        <v>#REF!</v>
      </c>
      <c r="P295" s="12" t="str">
        <f t="shared" si="63"/>
        <v/>
      </c>
      <c r="Q295" s="13" t="e">
        <f t="shared" si="59"/>
        <v>#REF!</v>
      </c>
      <c r="R295" s="13" t="e">
        <f>IF(#REF!="","",IF(#REF!="","0",#REF!))</f>
        <v>#REF!</v>
      </c>
      <c r="S295" s="12" t="e">
        <f>IF(OR(#REF!="",J295=""),"",IF(OR((R295-#REF!)&gt;0,(I295-J295)&gt;0),"YES","NO"))</f>
        <v>#REF!</v>
      </c>
      <c r="T295" s="12" t="str">
        <f t="shared" si="60"/>
        <v/>
      </c>
      <c r="U295" s="12" t="str">
        <f t="shared" si="64"/>
        <v>YES</v>
      </c>
      <c r="V295" s="14" t="e">
        <f>IF(U295="NO","",IF(AND((COUNTBLANK(B295:B295)=0),OR(COUNTBLANK(I295)=0,COUNTBLANK(#REF!)=0),OR(COUNTBLANK(D295:G295)&lt;&gt;4,COUNTBLANK(#REF!)=0)),"YES","NO"))</f>
        <v>#REF!</v>
      </c>
      <c r="W295" s="14" t="e">
        <f>IF(U295="NO","",IF(SUM(#REF!,D295:G295)&gt;0,"YES","NO"))</f>
        <v>#REF!</v>
      </c>
      <c r="X295" s="14" t="e">
        <f>IF(OR(V295="NO",W295="NO",T295="AHFC",#REF!="AHFC"),"FLAG","")</f>
        <v>#REF!</v>
      </c>
      <c r="Y295" s="15" t="e">
        <f t="shared" si="62"/>
        <v>#REF!</v>
      </c>
    </row>
    <row r="296" spans="1:25" ht="12.75" hidden="1" customHeight="1" x14ac:dyDescent="0.2">
      <c r="A296" s="16">
        <v>124</v>
      </c>
      <c r="B296" s="422"/>
      <c r="C296" s="422"/>
      <c r="D296" s="453"/>
      <c r="E296" s="453"/>
      <c r="F296" s="453"/>
      <c r="G296" s="453"/>
      <c r="H296" s="422"/>
      <c r="I296" s="454"/>
      <c r="J296" s="19" t="str">
        <f>IFERROR(VLOOKUP($Q296,FeeLookup!$J$5:$L$33,2,FALSE),"")</f>
        <v/>
      </c>
      <c r="K296" s="19" t="str">
        <f>IFERROR(VLOOKUP($Q296,FeeLookup!$J$5:$L$33,3,FALSE),"")</f>
        <v/>
      </c>
      <c r="L296" s="413"/>
      <c r="M296" s="414"/>
      <c r="N296" s="5"/>
      <c r="O296" s="12" t="e">
        <f>RIGHT(#REF!,LEN(#REF!)-20)</f>
        <v>#REF!</v>
      </c>
      <c r="P296" s="12" t="str">
        <f t="shared" si="63"/>
        <v/>
      </c>
      <c r="Q296" s="13" t="e">
        <f t="shared" si="59"/>
        <v>#REF!</v>
      </c>
      <c r="R296" s="13" t="e">
        <f>IF(#REF!="","",IF(#REF!="","0",#REF!))</f>
        <v>#REF!</v>
      </c>
      <c r="S296" s="12" t="e">
        <f>IF(OR(#REF!="",J296=""),"",IF(OR((R296-#REF!)&gt;0,(I296-J296)&gt;0),"YES","NO"))</f>
        <v>#REF!</v>
      </c>
      <c r="T296" s="12" t="str">
        <f t="shared" si="60"/>
        <v/>
      </c>
      <c r="U296" s="12" t="str">
        <f t="shared" si="64"/>
        <v>YES</v>
      </c>
      <c r="V296" s="14" t="e">
        <f>IF(U296="NO","",IF(AND((COUNTBLANK(B296:B296)=0),OR(COUNTBLANK(I296)=0,COUNTBLANK(#REF!)=0),OR(COUNTBLANK(D296:G296)&lt;&gt;4,COUNTBLANK(#REF!)=0)),"YES","NO"))</f>
        <v>#REF!</v>
      </c>
      <c r="W296" s="14" t="e">
        <f>IF(U296="NO","",IF(SUM(#REF!,D296:G296)&gt;0,"YES","NO"))</f>
        <v>#REF!</v>
      </c>
      <c r="X296" s="14" t="e">
        <f>IF(OR(V296="NO",W296="NO",T296="AHFC",#REF!="AHFC"),"FLAG","")</f>
        <v>#REF!</v>
      </c>
      <c r="Y296" s="15" t="e">
        <f t="shared" si="62"/>
        <v>#REF!</v>
      </c>
    </row>
    <row r="297" spans="1:25" ht="12.75" hidden="1" customHeight="1" x14ac:dyDescent="0.2">
      <c r="A297" s="8">
        <v>125</v>
      </c>
      <c r="B297" s="161"/>
      <c r="C297" s="161"/>
      <c r="D297" s="451"/>
      <c r="E297" s="451"/>
      <c r="F297" s="451"/>
      <c r="G297" s="451"/>
      <c r="H297" s="161"/>
      <c r="I297" s="452"/>
      <c r="J297" s="20" t="str">
        <f>IFERROR(VLOOKUP($Q297,FeeLookup!$J$5:$L$33,2,FALSE),"")</f>
        <v/>
      </c>
      <c r="K297" s="20" t="str">
        <f>IFERROR(VLOOKUP($Q297,FeeLookup!$J$5:$L$33,3,FALSE),"")</f>
        <v/>
      </c>
      <c r="L297" s="413"/>
      <c r="M297" s="414"/>
      <c r="N297" s="5"/>
      <c r="O297" s="12" t="e">
        <f>RIGHT(#REF!,LEN(#REF!)-20)</f>
        <v>#REF!</v>
      </c>
      <c r="P297" s="12" t="str">
        <f t="shared" si="63"/>
        <v/>
      </c>
      <c r="Q297" s="13" t="e">
        <f t="shared" si="59"/>
        <v>#REF!</v>
      </c>
      <c r="R297" s="13" t="e">
        <f>IF(#REF!="","",IF(#REF!="","0",#REF!))</f>
        <v>#REF!</v>
      </c>
      <c r="S297" s="12" t="e">
        <f>IF(OR(#REF!="",J297=""),"",IF(OR((R297-#REF!)&gt;0,(I297-J297)&gt;0),"YES","NO"))</f>
        <v>#REF!</v>
      </c>
      <c r="T297" s="12" t="str">
        <f t="shared" si="60"/>
        <v/>
      </c>
      <c r="U297" s="12" t="str">
        <f t="shared" si="64"/>
        <v>YES</v>
      </c>
      <c r="V297" s="14" t="e">
        <f>IF(U297="NO","",IF(AND((COUNTBLANK(B297:B297)=0),OR(COUNTBLANK(I297)=0,COUNTBLANK(#REF!)=0),OR(COUNTBLANK(D297:G297)&lt;&gt;4,COUNTBLANK(#REF!)=0)),"YES","NO"))</f>
        <v>#REF!</v>
      </c>
      <c r="W297" s="14" t="e">
        <f>IF(U297="NO","",IF(SUM(#REF!,D297:G297)&gt;0,"YES","NO"))</f>
        <v>#REF!</v>
      </c>
      <c r="X297" s="14" t="e">
        <f>IF(OR(V297="NO",W297="NO",T297="AHFC",#REF!="AHFC"),"FLAG","")</f>
        <v>#REF!</v>
      </c>
      <c r="Y297" s="15" t="e">
        <f t="shared" si="62"/>
        <v>#REF!</v>
      </c>
    </row>
    <row r="298" spans="1:25" ht="12.75" hidden="1" customHeight="1" x14ac:dyDescent="0.2">
      <c r="A298" s="16">
        <v>126</v>
      </c>
      <c r="B298" s="422"/>
      <c r="C298" s="422"/>
      <c r="D298" s="453"/>
      <c r="E298" s="453"/>
      <c r="F298" s="453"/>
      <c r="G298" s="453"/>
      <c r="H298" s="422"/>
      <c r="I298" s="454"/>
      <c r="J298" s="11" t="str">
        <f>IFERROR(VLOOKUP($Q298,FeeLookup!$J$5:$L$33,2,FALSE),"")</f>
        <v/>
      </c>
      <c r="K298" s="11" t="str">
        <f>IFERROR(VLOOKUP($Q298,FeeLookup!$J$5:$L$33,3,FALSE),"")</f>
        <v/>
      </c>
      <c r="L298" s="413"/>
      <c r="M298" s="414"/>
      <c r="N298" s="5"/>
      <c r="O298" s="12" t="e">
        <f>RIGHT(#REF!,LEN(#REF!)-20)</f>
        <v>#REF!</v>
      </c>
      <c r="P298" s="12" t="str">
        <f t="shared" si="63"/>
        <v/>
      </c>
      <c r="Q298" s="13" t="e">
        <f t="shared" si="59"/>
        <v>#REF!</v>
      </c>
      <c r="R298" s="13" t="e">
        <f>IF(#REF!="","",IF(#REF!="","0",#REF!))</f>
        <v>#REF!</v>
      </c>
      <c r="S298" s="12" t="e">
        <f>IF(OR(#REF!="",J298=""),"",IF(OR((R298-#REF!)&gt;0,(I298-J298)&gt;0),"YES","NO"))</f>
        <v>#REF!</v>
      </c>
      <c r="T298" s="12" t="str">
        <f t="shared" si="60"/>
        <v/>
      </c>
      <c r="U298" s="12" t="str">
        <f t="shared" si="64"/>
        <v>YES</v>
      </c>
      <c r="V298" s="14" t="e">
        <f>IF(U298="NO","",IF(AND((COUNTBLANK(B298:B298)=0),OR(COUNTBLANK(I298)=0,COUNTBLANK(#REF!)=0),OR(COUNTBLANK(D298:G298)&lt;&gt;4,COUNTBLANK(#REF!)=0)),"YES","NO"))</f>
        <v>#REF!</v>
      </c>
      <c r="W298" s="14" t="e">
        <f>IF(U298="NO","",IF(SUM(#REF!,D298:G298)&gt;0,"YES","NO"))</f>
        <v>#REF!</v>
      </c>
      <c r="X298" s="14" t="e">
        <f>IF(OR(V298="NO",W298="NO",T298="AHFC",#REF!="AHFC"),"FLAG","")</f>
        <v>#REF!</v>
      </c>
      <c r="Y298" s="15" t="e">
        <f t="shared" si="62"/>
        <v>#REF!</v>
      </c>
    </row>
    <row r="299" spans="1:25" ht="12.75" hidden="1" customHeight="1" x14ac:dyDescent="0.2">
      <c r="A299" s="16">
        <v>127</v>
      </c>
      <c r="B299" s="422"/>
      <c r="C299" s="422"/>
      <c r="D299" s="453"/>
      <c r="E299" s="453"/>
      <c r="F299" s="453"/>
      <c r="G299" s="453"/>
      <c r="H299" s="422"/>
      <c r="I299" s="454"/>
      <c r="J299" s="11" t="str">
        <f>IFERROR(VLOOKUP($Q299,FeeLookup!$J$5:$L$33,2,FALSE),"")</f>
        <v/>
      </c>
      <c r="K299" s="11" t="str">
        <f>IFERROR(VLOOKUP($Q299,FeeLookup!$J$5:$L$33,3,FALSE),"")</f>
        <v/>
      </c>
      <c r="L299" s="413"/>
      <c r="M299" s="414"/>
      <c r="N299" s="5"/>
      <c r="O299" s="12" t="e">
        <f>RIGHT(#REF!,LEN(#REF!)-20)</f>
        <v>#REF!</v>
      </c>
      <c r="P299" s="12" t="str">
        <f t="shared" si="63"/>
        <v/>
      </c>
      <c r="Q299" s="13" t="e">
        <f t="shared" si="59"/>
        <v>#REF!</v>
      </c>
      <c r="R299" s="13" t="e">
        <f>IF(#REF!="","",IF(#REF!="","0",#REF!))</f>
        <v>#REF!</v>
      </c>
      <c r="S299" s="12" t="e">
        <f>IF(OR(#REF!="",J299=""),"",IF(OR((R299-#REF!)&gt;0,(I299-J299)&gt;0),"YES","NO"))</f>
        <v>#REF!</v>
      </c>
      <c r="T299" s="12" t="str">
        <f t="shared" si="60"/>
        <v/>
      </c>
      <c r="U299" s="12" t="str">
        <f t="shared" si="64"/>
        <v>YES</v>
      </c>
      <c r="V299" s="14" t="e">
        <f>IF(U299="NO","",IF(AND((COUNTBLANK(B299:B299)=0),OR(COUNTBLANK(I299)=0,COUNTBLANK(#REF!)=0),OR(COUNTBLANK(D299:G299)&lt;&gt;4,COUNTBLANK(#REF!)=0)),"YES","NO"))</f>
        <v>#REF!</v>
      </c>
      <c r="W299" s="14" t="e">
        <f>IF(U299="NO","",IF(SUM(#REF!,D299:G299)&gt;0,"YES","NO"))</f>
        <v>#REF!</v>
      </c>
      <c r="X299" s="14" t="e">
        <f>IF(OR(V299="NO",W299="NO",T299="AHFC",#REF!="AHFC"),"FLAG","")</f>
        <v>#REF!</v>
      </c>
      <c r="Y299" s="15" t="e">
        <f t="shared" si="62"/>
        <v>#REF!</v>
      </c>
    </row>
    <row r="300" spans="1:25" ht="12.75" hidden="1" customHeight="1" x14ac:dyDescent="0.2">
      <c r="A300" s="16">
        <v>128</v>
      </c>
      <c r="B300" s="422"/>
      <c r="C300" s="422"/>
      <c r="D300" s="453"/>
      <c r="E300" s="453"/>
      <c r="F300" s="453"/>
      <c r="G300" s="453"/>
      <c r="H300" s="422"/>
      <c r="I300" s="454"/>
      <c r="J300" s="19" t="str">
        <f>IFERROR(VLOOKUP($Q300,FeeLookup!$J$5:$L$33,2,FALSE),"")</f>
        <v/>
      </c>
      <c r="K300" s="19" t="str">
        <f>IFERROR(VLOOKUP($Q300,FeeLookup!$J$5:$L$33,3,FALSE),"")</f>
        <v/>
      </c>
      <c r="L300" s="413"/>
      <c r="M300" s="414"/>
      <c r="N300" s="5"/>
      <c r="O300" s="12" t="e">
        <f>RIGHT(#REF!,LEN(#REF!)-20)</f>
        <v>#REF!</v>
      </c>
      <c r="P300" s="12" t="str">
        <f t="shared" si="63"/>
        <v/>
      </c>
      <c r="Q300" s="13" t="e">
        <f t="shared" si="59"/>
        <v>#REF!</v>
      </c>
      <c r="R300" s="13" t="e">
        <f>IF(#REF!="","",IF(#REF!="","0",#REF!))</f>
        <v>#REF!</v>
      </c>
      <c r="S300" s="12" t="e">
        <f>IF(OR(#REF!="",J300=""),"",IF(OR((R300-#REF!)&gt;0,(I300-J300)&gt;0),"YES","NO"))</f>
        <v>#REF!</v>
      </c>
      <c r="T300" s="12" t="str">
        <f t="shared" si="60"/>
        <v/>
      </c>
      <c r="U300" s="12" t="str">
        <f t="shared" si="64"/>
        <v>YES</v>
      </c>
      <c r="V300" s="14" t="e">
        <f>IF(U300="NO","",IF(AND((COUNTBLANK(B300:B300)=0),OR(COUNTBLANK(I300)=0,COUNTBLANK(#REF!)=0),OR(COUNTBLANK(D300:G300)&lt;&gt;4,COUNTBLANK(#REF!)=0)),"YES","NO"))</f>
        <v>#REF!</v>
      </c>
      <c r="W300" s="14" t="e">
        <f>IF(U300="NO","",IF(SUM(#REF!,D300:G300)&gt;0,"YES","NO"))</f>
        <v>#REF!</v>
      </c>
      <c r="X300" s="14" t="e">
        <f>IF(OR(V300="NO",W300="NO",T300="AHFC",#REF!="AHFC"),"FLAG","")</f>
        <v>#REF!</v>
      </c>
      <c r="Y300" s="15" t="e">
        <f t="shared" si="62"/>
        <v>#REF!</v>
      </c>
    </row>
    <row r="301" spans="1:25" ht="12.75" hidden="1" customHeight="1" x14ac:dyDescent="0.2">
      <c r="A301" s="8">
        <v>129</v>
      </c>
      <c r="B301" s="161"/>
      <c r="C301" s="161"/>
      <c r="D301" s="451"/>
      <c r="E301" s="451"/>
      <c r="F301" s="451"/>
      <c r="G301" s="451"/>
      <c r="H301" s="161"/>
      <c r="I301" s="452"/>
      <c r="J301" s="20" t="str">
        <f>IFERROR(VLOOKUP($Q301,FeeLookup!$J$5:$L$33,2,FALSE),"")</f>
        <v/>
      </c>
      <c r="K301" s="20" t="str">
        <f>IFERROR(VLOOKUP($Q301,FeeLookup!$J$5:$L$33,3,FALSE),"")</f>
        <v/>
      </c>
      <c r="L301" s="413"/>
      <c r="M301" s="414"/>
      <c r="N301" s="5"/>
      <c r="O301" s="12" t="e">
        <f>RIGHT(#REF!,LEN(#REF!)-20)</f>
        <v>#REF!</v>
      </c>
      <c r="P301" s="12" t="str">
        <f t="shared" ref="P301:P322" si="65">IF(B301="","",IF(B301="Erasmus and overseas study years","LOWER",IF(B301="Sandwich course","SAND","FULL")))</f>
        <v/>
      </c>
      <c r="Q301" s="13" t="e">
        <f t="shared" ref="Q301:Q322" si="66">CONCATENATE(P301,IF(O301="No TEF","_NO_TEF_",IF(O301="TEF2","_TEF2_","")))</f>
        <v>#REF!</v>
      </c>
      <c r="R301" s="13" t="e">
        <f>IF(#REF!="","",IF(#REF!="","0",#REF!))</f>
        <v>#REF!</v>
      </c>
      <c r="S301" s="12" t="e">
        <f>IF(OR(#REF!="",J301=""),"",IF(OR((R301-#REF!)&gt;0,(I301-J301)&gt;0),"YES","NO"))</f>
        <v>#REF!</v>
      </c>
      <c r="T301" s="12" t="str">
        <f t="shared" ref="T301:T322" si="67">IF(I301="","",IF(I301&lt;J301,"BBFC",IF(I301&gt;K301,"AHFC","BBHFC")))</f>
        <v/>
      </c>
      <c r="U301" s="12" t="str">
        <f t="shared" ref="U301:U322" si="68">IF(COUNTBLANK(B301:I301)=12,"NO","YES")</f>
        <v>YES</v>
      </c>
      <c r="V301" s="14" t="e">
        <f>IF(U301="NO","",IF(AND((COUNTBLANK(B301:B301)=0),OR(COUNTBLANK(I301)=0,COUNTBLANK(#REF!)=0),OR(COUNTBLANK(D301:G301)&lt;&gt;4,COUNTBLANK(#REF!)=0)),"YES","NO"))</f>
        <v>#REF!</v>
      </c>
      <c r="W301" s="14" t="e">
        <f>IF(U301="NO","",IF(SUM(#REF!,D301:G301)&gt;0,"YES","NO"))</f>
        <v>#REF!</v>
      </c>
      <c r="X301" s="14" t="e">
        <f>IF(OR(V301="NO",W301="NO",T301="AHFC",#REF!="AHFC"),"FLAG","")</f>
        <v>#REF!</v>
      </c>
      <c r="Y301" s="15" t="e">
        <f t="shared" ref="Y301:Y322" si="69">IF(OR(I301="",V301=""),"",IF(I301-J301&lt;0,0,I301-J301))</f>
        <v>#REF!</v>
      </c>
    </row>
    <row r="302" spans="1:25" ht="12.75" hidden="1" customHeight="1" x14ac:dyDescent="0.2">
      <c r="A302" s="16">
        <v>130</v>
      </c>
      <c r="B302" s="422"/>
      <c r="C302" s="422"/>
      <c r="D302" s="453"/>
      <c r="E302" s="453"/>
      <c r="F302" s="453"/>
      <c r="G302" s="453"/>
      <c r="H302" s="422"/>
      <c r="I302" s="454"/>
      <c r="J302" s="11" t="str">
        <f>IFERROR(VLOOKUP($Q302,FeeLookup!$J$5:$L$33,2,FALSE),"")</f>
        <v/>
      </c>
      <c r="K302" s="11" t="str">
        <f>IFERROR(VLOOKUP($Q302,FeeLookup!$J$5:$L$33,3,FALSE),"")</f>
        <v/>
      </c>
      <c r="L302" s="413"/>
      <c r="M302" s="414"/>
      <c r="N302" s="5"/>
      <c r="O302" s="12" t="e">
        <f>RIGHT(#REF!,LEN(#REF!)-20)</f>
        <v>#REF!</v>
      </c>
      <c r="P302" s="12" t="str">
        <f t="shared" si="65"/>
        <v/>
      </c>
      <c r="Q302" s="13" t="e">
        <f t="shared" si="66"/>
        <v>#REF!</v>
      </c>
      <c r="R302" s="13" t="e">
        <f>IF(#REF!="","",IF(#REF!="","0",#REF!))</f>
        <v>#REF!</v>
      </c>
      <c r="S302" s="12" t="e">
        <f>IF(OR(#REF!="",J302=""),"",IF(OR((R302-#REF!)&gt;0,(I302-J302)&gt;0),"YES","NO"))</f>
        <v>#REF!</v>
      </c>
      <c r="T302" s="12" t="str">
        <f t="shared" si="67"/>
        <v/>
      </c>
      <c r="U302" s="12" t="str">
        <f t="shared" si="68"/>
        <v>YES</v>
      </c>
      <c r="V302" s="14" t="e">
        <f>IF(U302="NO","",IF(AND((COUNTBLANK(B302:B302)=0),OR(COUNTBLANK(I302)=0,COUNTBLANK(#REF!)=0),OR(COUNTBLANK(D302:G302)&lt;&gt;4,COUNTBLANK(#REF!)=0)),"YES","NO"))</f>
        <v>#REF!</v>
      </c>
      <c r="W302" s="14" t="e">
        <f>IF(U302="NO","",IF(SUM(#REF!,D302:G302)&gt;0,"YES","NO"))</f>
        <v>#REF!</v>
      </c>
      <c r="X302" s="14" t="e">
        <f>IF(OR(V302="NO",W302="NO",T302="AHFC",#REF!="AHFC"),"FLAG","")</f>
        <v>#REF!</v>
      </c>
      <c r="Y302" s="15" t="e">
        <f t="shared" si="69"/>
        <v>#REF!</v>
      </c>
    </row>
    <row r="303" spans="1:25" ht="12.75" hidden="1" customHeight="1" x14ac:dyDescent="0.2">
      <c r="A303" s="16">
        <v>131</v>
      </c>
      <c r="B303" s="422"/>
      <c r="C303" s="422"/>
      <c r="D303" s="453"/>
      <c r="E303" s="453"/>
      <c r="F303" s="453"/>
      <c r="G303" s="453"/>
      <c r="H303" s="422"/>
      <c r="I303" s="454"/>
      <c r="J303" s="11" t="str">
        <f>IFERROR(VLOOKUP($Q303,FeeLookup!$J$5:$L$33,2,FALSE),"")</f>
        <v/>
      </c>
      <c r="K303" s="11" t="str">
        <f>IFERROR(VLOOKUP($Q303,FeeLookup!$J$5:$L$33,3,FALSE),"")</f>
        <v/>
      </c>
      <c r="L303" s="413"/>
      <c r="M303" s="414"/>
      <c r="N303" s="5"/>
      <c r="O303" s="12" t="e">
        <f>RIGHT(#REF!,LEN(#REF!)-20)</f>
        <v>#REF!</v>
      </c>
      <c r="P303" s="12" t="str">
        <f t="shared" si="65"/>
        <v/>
      </c>
      <c r="Q303" s="13" t="e">
        <f t="shared" si="66"/>
        <v>#REF!</v>
      </c>
      <c r="R303" s="13" t="e">
        <f>IF(#REF!="","",IF(#REF!="","0",#REF!))</f>
        <v>#REF!</v>
      </c>
      <c r="S303" s="12" t="e">
        <f>IF(OR(#REF!="",J303=""),"",IF(OR((R303-#REF!)&gt;0,(I303-J303)&gt;0),"YES","NO"))</f>
        <v>#REF!</v>
      </c>
      <c r="T303" s="12" t="str">
        <f t="shared" si="67"/>
        <v/>
      </c>
      <c r="U303" s="12" t="str">
        <f t="shared" si="68"/>
        <v>YES</v>
      </c>
      <c r="V303" s="14" t="e">
        <f>IF(U303="NO","",IF(AND((COUNTBLANK(B303:B303)=0),OR(COUNTBLANK(I303)=0,COUNTBLANK(#REF!)=0),OR(COUNTBLANK(D303:G303)&lt;&gt;4,COUNTBLANK(#REF!)=0)),"YES","NO"))</f>
        <v>#REF!</v>
      </c>
      <c r="W303" s="14" t="e">
        <f>IF(U303="NO","",IF(SUM(#REF!,D303:G303)&gt;0,"YES","NO"))</f>
        <v>#REF!</v>
      </c>
      <c r="X303" s="14" t="e">
        <f>IF(OR(V303="NO",W303="NO",T303="AHFC",#REF!="AHFC"),"FLAG","")</f>
        <v>#REF!</v>
      </c>
      <c r="Y303" s="15" t="e">
        <f t="shared" si="69"/>
        <v>#REF!</v>
      </c>
    </row>
    <row r="304" spans="1:25" ht="12.75" hidden="1" customHeight="1" x14ac:dyDescent="0.2">
      <c r="A304" s="16">
        <v>132</v>
      </c>
      <c r="B304" s="422"/>
      <c r="C304" s="422"/>
      <c r="D304" s="453"/>
      <c r="E304" s="453"/>
      <c r="F304" s="453"/>
      <c r="G304" s="453"/>
      <c r="H304" s="422"/>
      <c r="I304" s="454"/>
      <c r="J304" s="19" t="str">
        <f>IFERROR(VLOOKUP($Q304,FeeLookup!$J$5:$L$33,2,FALSE),"")</f>
        <v/>
      </c>
      <c r="K304" s="19" t="str">
        <f>IFERROR(VLOOKUP($Q304,FeeLookup!$J$5:$L$33,3,FALSE),"")</f>
        <v/>
      </c>
      <c r="L304" s="413"/>
      <c r="M304" s="414"/>
      <c r="N304" s="5"/>
      <c r="O304" s="12" t="e">
        <f>RIGHT(#REF!,LEN(#REF!)-20)</f>
        <v>#REF!</v>
      </c>
      <c r="P304" s="12" t="str">
        <f t="shared" si="65"/>
        <v/>
      </c>
      <c r="Q304" s="13" t="e">
        <f t="shared" si="66"/>
        <v>#REF!</v>
      </c>
      <c r="R304" s="13" t="e">
        <f>IF(#REF!="","",IF(#REF!="","0",#REF!))</f>
        <v>#REF!</v>
      </c>
      <c r="S304" s="12" t="e">
        <f>IF(OR(#REF!="",J304=""),"",IF(OR((R304-#REF!)&gt;0,(I304-J304)&gt;0),"YES","NO"))</f>
        <v>#REF!</v>
      </c>
      <c r="T304" s="12" t="str">
        <f t="shared" si="67"/>
        <v/>
      </c>
      <c r="U304" s="12" t="str">
        <f t="shared" si="68"/>
        <v>YES</v>
      </c>
      <c r="V304" s="14" t="e">
        <f>IF(U304="NO","",IF(AND((COUNTBLANK(B304:B304)=0),OR(COUNTBLANK(I304)=0,COUNTBLANK(#REF!)=0),OR(COUNTBLANK(D304:G304)&lt;&gt;4,COUNTBLANK(#REF!)=0)),"YES","NO"))</f>
        <v>#REF!</v>
      </c>
      <c r="W304" s="14" t="e">
        <f>IF(U304="NO","",IF(SUM(#REF!,D304:G304)&gt;0,"YES","NO"))</f>
        <v>#REF!</v>
      </c>
      <c r="X304" s="14" t="e">
        <f>IF(OR(V304="NO",W304="NO",T304="AHFC",#REF!="AHFC"),"FLAG","")</f>
        <v>#REF!</v>
      </c>
      <c r="Y304" s="15" t="e">
        <f t="shared" si="69"/>
        <v>#REF!</v>
      </c>
    </row>
    <row r="305" spans="1:25" ht="12.75" hidden="1" customHeight="1" x14ac:dyDescent="0.2">
      <c r="A305" s="8">
        <v>133</v>
      </c>
      <c r="B305" s="161"/>
      <c r="C305" s="161"/>
      <c r="D305" s="451"/>
      <c r="E305" s="451"/>
      <c r="F305" s="451"/>
      <c r="G305" s="451"/>
      <c r="H305" s="161"/>
      <c r="I305" s="452"/>
      <c r="J305" s="20" t="str">
        <f>IFERROR(VLOOKUP($Q305,FeeLookup!$J$5:$L$33,2,FALSE),"")</f>
        <v/>
      </c>
      <c r="K305" s="20" t="str">
        <f>IFERROR(VLOOKUP($Q305,FeeLookup!$J$5:$L$33,3,FALSE),"")</f>
        <v/>
      </c>
      <c r="L305" s="413"/>
      <c r="M305" s="414"/>
      <c r="N305" s="5"/>
      <c r="O305" s="12" t="e">
        <f>RIGHT(#REF!,LEN(#REF!)-20)</f>
        <v>#REF!</v>
      </c>
      <c r="P305" s="12" t="str">
        <f t="shared" si="65"/>
        <v/>
      </c>
      <c r="Q305" s="13" t="e">
        <f t="shared" si="66"/>
        <v>#REF!</v>
      </c>
      <c r="R305" s="13" t="e">
        <f>IF(#REF!="","",IF(#REF!="","0",#REF!))</f>
        <v>#REF!</v>
      </c>
      <c r="S305" s="12" t="e">
        <f>IF(OR(#REF!="",J305=""),"",IF(OR((R305-#REF!)&gt;0,(I305-J305)&gt;0),"YES","NO"))</f>
        <v>#REF!</v>
      </c>
      <c r="T305" s="12" t="str">
        <f t="shared" si="67"/>
        <v/>
      </c>
      <c r="U305" s="12" t="str">
        <f t="shared" si="68"/>
        <v>YES</v>
      </c>
      <c r="V305" s="14" t="e">
        <f>IF(U305="NO","",IF(AND((COUNTBLANK(B305:B305)=0),OR(COUNTBLANK(I305)=0,COUNTBLANK(#REF!)=0),OR(COUNTBLANK(D305:G305)&lt;&gt;4,COUNTBLANK(#REF!)=0)),"YES","NO"))</f>
        <v>#REF!</v>
      </c>
      <c r="W305" s="14" t="e">
        <f>IF(U305="NO","",IF(SUM(#REF!,D305:G305)&gt;0,"YES","NO"))</f>
        <v>#REF!</v>
      </c>
      <c r="X305" s="14" t="e">
        <f>IF(OR(V305="NO",W305="NO",T305="AHFC",#REF!="AHFC"),"FLAG","")</f>
        <v>#REF!</v>
      </c>
      <c r="Y305" s="15" t="e">
        <f t="shared" si="69"/>
        <v>#REF!</v>
      </c>
    </row>
    <row r="306" spans="1:25" ht="12.75" hidden="1" customHeight="1" x14ac:dyDescent="0.2">
      <c r="A306" s="16">
        <v>134</v>
      </c>
      <c r="B306" s="422"/>
      <c r="C306" s="422"/>
      <c r="D306" s="453"/>
      <c r="E306" s="453"/>
      <c r="F306" s="453"/>
      <c r="G306" s="453"/>
      <c r="H306" s="422"/>
      <c r="I306" s="454"/>
      <c r="J306" s="11" t="str">
        <f>IFERROR(VLOOKUP($Q306,FeeLookup!$J$5:$L$33,2,FALSE),"")</f>
        <v/>
      </c>
      <c r="K306" s="11" t="str">
        <f>IFERROR(VLOOKUP($Q306,FeeLookup!$J$5:$L$33,3,FALSE),"")</f>
        <v/>
      </c>
      <c r="L306" s="413"/>
      <c r="M306" s="414"/>
      <c r="N306" s="5"/>
      <c r="O306" s="12" t="e">
        <f>RIGHT(#REF!,LEN(#REF!)-20)</f>
        <v>#REF!</v>
      </c>
      <c r="P306" s="12" t="str">
        <f t="shared" si="65"/>
        <v/>
      </c>
      <c r="Q306" s="13" t="e">
        <f t="shared" si="66"/>
        <v>#REF!</v>
      </c>
      <c r="R306" s="13" t="e">
        <f>IF(#REF!="","",IF(#REF!="","0",#REF!))</f>
        <v>#REF!</v>
      </c>
      <c r="S306" s="12" t="e">
        <f>IF(OR(#REF!="",J306=""),"",IF(OR((R306-#REF!)&gt;0,(I306-J306)&gt;0),"YES","NO"))</f>
        <v>#REF!</v>
      </c>
      <c r="T306" s="12" t="str">
        <f t="shared" si="67"/>
        <v/>
      </c>
      <c r="U306" s="12" t="str">
        <f t="shared" si="68"/>
        <v>YES</v>
      </c>
      <c r="V306" s="14" t="e">
        <f>IF(U306="NO","",IF(AND((COUNTBLANK(B306:B306)=0),OR(COUNTBLANK(I306)=0,COUNTBLANK(#REF!)=0),OR(COUNTBLANK(D306:G306)&lt;&gt;4,COUNTBLANK(#REF!)=0)),"YES","NO"))</f>
        <v>#REF!</v>
      </c>
      <c r="W306" s="14" t="e">
        <f>IF(U306="NO","",IF(SUM(#REF!,D306:G306)&gt;0,"YES","NO"))</f>
        <v>#REF!</v>
      </c>
      <c r="X306" s="14" t="e">
        <f>IF(OR(V306="NO",W306="NO",T306="AHFC",#REF!="AHFC"),"FLAG","")</f>
        <v>#REF!</v>
      </c>
      <c r="Y306" s="15" t="e">
        <f t="shared" si="69"/>
        <v>#REF!</v>
      </c>
    </row>
    <row r="307" spans="1:25" ht="12.75" hidden="1" customHeight="1" x14ac:dyDescent="0.2">
      <c r="A307" s="16">
        <v>135</v>
      </c>
      <c r="B307" s="422"/>
      <c r="C307" s="422"/>
      <c r="D307" s="453"/>
      <c r="E307" s="453"/>
      <c r="F307" s="453"/>
      <c r="G307" s="453"/>
      <c r="H307" s="422"/>
      <c r="I307" s="454"/>
      <c r="J307" s="11" t="str">
        <f>IFERROR(VLOOKUP($Q307,FeeLookup!$J$5:$L$33,2,FALSE),"")</f>
        <v/>
      </c>
      <c r="K307" s="11" t="str">
        <f>IFERROR(VLOOKUP($Q307,FeeLookup!$J$5:$L$33,3,FALSE),"")</f>
        <v/>
      </c>
      <c r="L307" s="413"/>
      <c r="M307" s="414"/>
      <c r="N307" s="5"/>
      <c r="O307" s="12" t="e">
        <f>RIGHT(#REF!,LEN(#REF!)-20)</f>
        <v>#REF!</v>
      </c>
      <c r="P307" s="12" t="str">
        <f t="shared" si="65"/>
        <v/>
      </c>
      <c r="Q307" s="13" t="e">
        <f t="shared" si="66"/>
        <v>#REF!</v>
      </c>
      <c r="R307" s="13" t="e">
        <f>IF(#REF!="","",IF(#REF!="","0",#REF!))</f>
        <v>#REF!</v>
      </c>
      <c r="S307" s="12" t="e">
        <f>IF(OR(#REF!="",J307=""),"",IF(OR((R307-#REF!)&gt;0,(I307-J307)&gt;0),"YES","NO"))</f>
        <v>#REF!</v>
      </c>
      <c r="T307" s="12" t="str">
        <f t="shared" si="67"/>
        <v/>
      </c>
      <c r="U307" s="12" t="str">
        <f t="shared" si="68"/>
        <v>YES</v>
      </c>
      <c r="V307" s="14" t="e">
        <f>IF(U307="NO","",IF(AND((COUNTBLANK(B307:B307)=0),OR(COUNTBLANK(I307)=0,COUNTBLANK(#REF!)=0),OR(COUNTBLANK(D307:G307)&lt;&gt;4,COUNTBLANK(#REF!)=0)),"YES","NO"))</f>
        <v>#REF!</v>
      </c>
      <c r="W307" s="14" t="e">
        <f>IF(U307="NO","",IF(SUM(#REF!,D307:G307)&gt;0,"YES","NO"))</f>
        <v>#REF!</v>
      </c>
      <c r="X307" s="14" t="e">
        <f>IF(OR(V307="NO",W307="NO",T307="AHFC",#REF!="AHFC"),"FLAG","")</f>
        <v>#REF!</v>
      </c>
      <c r="Y307" s="15" t="e">
        <f t="shared" si="69"/>
        <v>#REF!</v>
      </c>
    </row>
    <row r="308" spans="1:25" ht="12.75" hidden="1" customHeight="1" x14ac:dyDescent="0.2">
      <c r="A308" s="16">
        <v>136</v>
      </c>
      <c r="B308" s="422"/>
      <c r="C308" s="422"/>
      <c r="D308" s="453"/>
      <c r="E308" s="453"/>
      <c r="F308" s="453"/>
      <c r="G308" s="453"/>
      <c r="H308" s="422"/>
      <c r="I308" s="454"/>
      <c r="J308" s="19" t="str">
        <f>IFERROR(VLOOKUP($Q308,FeeLookup!$J$5:$L$33,2,FALSE),"")</f>
        <v/>
      </c>
      <c r="K308" s="19" t="str">
        <f>IFERROR(VLOOKUP($Q308,FeeLookup!$J$5:$L$33,3,FALSE),"")</f>
        <v/>
      </c>
      <c r="L308" s="413"/>
      <c r="M308" s="414"/>
      <c r="N308" s="5"/>
      <c r="O308" s="12" t="e">
        <f>RIGHT(#REF!,LEN(#REF!)-20)</f>
        <v>#REF!</v>
      </c>
      <c r="P308" s="12" t="str">
        <f t="shared" si="65"/>
        <v/>
      </c>
      <c r="Q308" s="13" t="e">
        <f t="shared" si="66"/>
        <v>#REF!</v>
      </c>
      <c r="R308" s="13" t="e">
        <f>IF(#REF!="","",IF(#REF!="","0",#REF!))</f>
        <v>#REF!</v>
      </c>
      <c r="S308" s="12" t="e">
        <f>IF(OR(#REF!="",J308=""),"",IF(OR((R308-#REF!)&gt;0,(I308-J308)&gt;0),"YES","NO"))</f>
        <v>#REF!</v>
      </c>
      <c r="T308" s="12" t="str">
        <f t="shared" si="67"/>
        <v/>
      </c>
      <c r="U308" s="12" t="str">
        <f t="shared" si="68"/>
        <v>YES</v>
      </c>
      <c r="V308" s="14" t="e">
        <f>IF(U308="NO","",IF(AND((COUNTBLANK(B308:B308)=0),OR(COUNTBLANK(I308)=0,COUNTBLANK(#REF!)=0),OR(COUNTBLANK(D308:G308)&lt;&gt;4,COUNTBLANK(#REF!)=0)),"YES","NO"))</f>
        <v>#REF!</v>
      </c>
      <c r="W308" s="14" t="e">
        <f>IF(U308="NO","",IF(SUM(#REF!,D308:G308)&gt;0,"YES","NO"))</f>
        <v>#REF!</v>
      </c>
      <c r="X308" s="14" t="e">
        <f>IF(OR(V308="NO",W308="NO",T308="AHFC",#REF!="AHFC"),"FLAG","")</f>
        <v>#REF!</v>
      </c>
      <c r="Y308" s="15" t="e">
        <f t="shared" si="69"/>
        <v>#REF!</v>
      </c>
    </row>
    <row r="309" spans="1:25" ht="12.75" hidden="1" customHeight="1" x14ac:dyDescent="0.2">
      <c r="A309" s="8">
        <v>137</v>
      </c>
      <c r="B309" s="161"/>
      <c r="C309" s="161"/>
      <c r="D309" s="451"/>
      <c r="E309" s="451"/>
      <c r="F309" s="451"/>
      <c r="G309" s="451"/>
      <c r="H309" s="161"/>
      <c r="I309" s="452"/>
      <c r="J309" s="20" t="str">
        <f>IFERROR(VLOOKUP($Q309,FeeLookup!$J$5:$L$33,2,FALSE),"")</f>
        <v/>
      </c>
      <c r="K309" s="20" t="str">
        <f>IFERROR(VLOOKUP($Q309,FeeLookup!$J$5:$L$33,3,FALSE),"")</f>
        <v/>
      </c>
      <c r="L309" s="413"/>
      <c r="M309" s="414"/>
      <c r="N309" s="5"/>
      <c r="O309" s="12" t="e">
        <f>RIGHT(#REF!,LEN(#REF!)-20)</f>
        <v>#REF!</v>
      </c>
      <c r="P309" s="12" t="str">
        <f t="shared" si="65"/>
        <v/>
      </c>
      <c r="Q309" s="13" t="e">
        <f t="shared" si="66"/>
        <v>#REF!</v>
      </c>
      <c r="R309" s="13" t="e">
        <f>IF(#REF!="","",IF(#REF!="","0",#REF!))</f>
        <v>#REF!</v>
      </c>
      <c r="S309" s="12" t="e">
        <f>IF(OR(#REF!="",J309=""),"",IF(OR((R309-#REF!)&gt;0,(I309-J309)&gt;0),"YES","NO"))</f>
        <v>#REF!</v>
      </c>
      <c r="T309" s="12" t="str">
        <f t="shared" si="67"/>
        <v/>
      </c>
      <c r="U309" s="12" t="str">
        <f t="shared" si="68"/>
        <v>YES</v>
      </c>
      <c r="V309" s="14" t="e">
        <f>IF(U309="NO","",IF(AND((COUNTBLANK(B309:B309)=0),OR(COUNTBLANK(I309)=0,COUNTBLANK(#REF!)=0),OR(COUNTBLANK(D309:G309)&lt;&gt;4,COUNTBLANK(#REF!)=0)),"YES","NO"))</f>
        <v>#REF!</v>
      </c>
      <c r="W309" s="14" t="e">
        <f>IF(U309="NO","",IF(SUM(#REF!,D309:G309)&gt;0,"YES","NO"))</f>
        <v>#REF!</v>
      </c>
      <c r="X309" s="14" t="e">
        <f>IF(OR(V309="NO",W309="NO",T309="AHFC",#REF!="AHFC"),"FLAG","")</f>
        <v>#REF!</v>
      </c>
      <c r="Y309" s="15" t="e">
        <f t="shared" si="69"/>
        <v>#REF!</v>
      </c>
    </row>
    <row r="310" spans="1:25" ht="12.75" hidden="1" customHeight="1" x14ac:dyDescent="0.2">
      <c r="A310" s="16">
        <v>138</v>
      </c>
      <c r="B310" s="422"/>
      <c r="C310" s="422"/>
      <c r="D310" s="453"/>
      <c r="E310" s="453"/>
      <c r="F310" s="453"/>
      <c r="G310" s="453"/>
      <c r="H310" s="422"/>
      <c r="I310" s="454"/>
      <c r="J310" s="11" t="str">
        <f>IFERROR(VLOOKUP($Q310,FeeLookup!$J$5:$L$33,2,FALSE),"")</f>
        <v/>
      </c>
      <c r="K310" s="11" t="str">
        <f>IFERROR(VLOOKUP($Q310,FeeLookup!$J$5:$L$33,3,FALSE),"")</f>
        <v/>
      </c>
      <c r="L310" s="413"/>
      <c r="M310" s="414"/>
      <c r="N310" s="5"/>
      <c r="O310" s="12" t="e">
        <f>RIGHT(#REF!,LEN(#REF!)-20)</f>
        <v>#REF!</v>
      </c>
      <c r="P310" s="12" t="str">
        <f t="shared" si="65"/>
        <v/>
      </c>
      <c r="Q310" s="13" t="e">
        <f t="shared" si="66"/>
        <v>#REF!</v>
      </c>
      <c r="R310" s="13" t="e">
        <f>IF(#REF!="","",IF(#REF!="","0",#REF!))</f>
        <v>#REF!</v>
      </c>
      <c r="S310" s="12" t="e">
        <f>IF(OR(#REF!="",J310=""),"",IF(OR((R310-#REF!)&gt;0,(I310-J310)&gt;0),"YES","NO"))</f>
        <v>#REF!</v>
      </c>
      <c r="T310" s="12" t="str">
        <f t="shared" si="67"/>
        <v/>
      </c>
      <c r="U310" s="12" t="str">
        <f t="shared" si="68"/>
        <v>YES</v>
      </c>
      <c r="V310" s="14" t="e">
        <f>IF(U310="NO","",IF(AND((COUNTBLANK(B310:B310)=0),OR(COUNTBLANK(I310)=0,COUNTBLANK(#REF!)=0),OR(COUNTBLANK(D310:G310)&lt;&gt;4,COUNTBLANK(#REF!)=0)),"YES","NO"))</f>
        <v>#REF!</v>
      </c>
      <c r="W310" s="14" t="e">
        <f>IF(U310="NO","",IF(SUM(#REF!,D310:G310)&gt;0,"YES","NO"))</f>
        <v>#REF!</v>
      </c>
      <c r="X310" s="14" t="e">
        <f>IF(OR(V310="NO",W310="NO",T310="AHFC",#REF!="AHFC"),"FLAG","")</f>
        <v>#REF!</v>
      </c>
      <c r="Y310" s="15" t="e">
        <f t="shared" si="69"/>
        <v>#REF!</v>
      </c>
    </row>
    <row r="311" spans="1:25" ht="12.75" hidden="1" customHeight="1" x14ac:dyDescent="0.2">
      <c r="A311" s="16">
        <v>139</v>
      </c>
      <c r="B311" s="422"/>
      <c r="C311" s="422"/>
      <c r="D311" s="453"/>
      <c r="E311" s="453"/>
      <c r="F311" s="453"/>
      <c r="G311" s="453"/>
      <c r="H311" s="422"/>
      <c r="I311" s="454"/>
      <c r="J311" s="11" t="str">
        <f>IFERROR(VLOOKUP($Q311,FeeLookup!$J$5:$L$33,2,FALSE),"")</f>
        <v/>
      </c>
      <c r="K311" s="11" t="str">
        <f>IFERROR(VLOOKUP($Q311,FeeLookup!$J$5:$L$33,3,FALSE),"")</f>
        <v/>
      </c>
      <c r="L311" s="413"/>
      <c r="M311" s="414"/>
      <c r="N311" s="5"/>
      <c r="O311" s="12" t="e">
        <f>RIGHT(#REF!,LEN(#REF!)-20)</f>
        <v>#REF!</v>
      </c>
      <c r="P311" s="12" t="str">
        <f t="shared" si="65"/>
        <v/>
      </c>
      <c r="Q311" s="13" t="e">
        <f t="shared" si="66"/>
        <v>#REF!</v>
      </c>
      <c r="R311" s="13" t="e">
        <f>IF(#REF!="","",IF(#REF!="","0",#REF!))</f>
        <v>#REF!</v>
      </c>
      <c r="S311" s="12" t="e">
        <f>IF(OR(#REF!="",J311=""),"",IF(OR((R311-#REF!)&gt;0,(I311-J311)&gt;0),"YES","NO"))</f>
        <v>#REF!</v>
      </c>
      <c r="T311" s="12" t="str">
        <f t="shared" si="67"/>
        <v/>
      </c>
      <c r="U311" s="12" t="str">
        <f t="shared" si="68"/>
        <v>YES</v>
      </c>
      <c r="V311" s="14" t="e">
        <f>IF(U311="NO","",IF(AND((COUNTBLANK(B311:B311)=0),OR(COUNTBLANK(I311)=0,COUNTBLANK(#REF!)=0),OR(COUNTBLANK(D311:G311)&lt;&gt;4,COUNTBLANK(#REF!)=0)),"YES","NO"))</f>
        <v>#REF!</v>
      </c>
      <c r="W311" s="14" t="e">
        <f>IF(U311="NO","",IF(SUM(#REF!,D311:G311)&gt;0,"YES","NO"))</f>
        <v>#REF!</v>
      </c>
      <c r="X311" s="14" t="e">
        <f>IF(OR(V311="NO",W311="NO",T311="AHFC",#REF!="AHFC"),"FLAG","")</f>
        <v>#REF!</v>
      </c>
      <c r="Y311" s="15" t="e">
        <f t="shared" si="69"/>
        <v>#REF!</v>
      </c>
    </row>
    <row r="312" spans="1:25" ht="12.75" hidden="1" customHeight="1" x14ac:dyDescent="0.2">
      <c r="A312" s="16">
        <v>140</v>
      </c>
      <c r="B312" s="422"/>
      <c r="C312" s="422"/>
      <c r="D312" s="453"/>
      <c r="E312" s="453"/>
      <c r="F312" s="453"/>
      <c r="G312" s="453"/>
      <c r="H312" s="422"/>
      <c r="I312" s="454"/>
      <c r="J312" s="19" t="str">
        <f>IFERROR(VLOOKUP($Q312,FeeLookup!$J$5:$L$33,2,FALSE),"")</f>
        <v/>
      </c>
      <c r="K312" s="19" t="str">
        <f>IFERROR(VLOOKUP($Q312,FeeLookup!$J$5:$L$33,3,FALSE),"")</f>
        <v/>
      </c>
      <c r="L312" s="413"/>
      <c r="M312" s="414"/>
      <c r="N312" s="5"/>
      <c r="O312" s="12" t="e">
        <f>RIGHT(#REF!,LEN(#REF!)-20)</f>
        <v>#REF!</v>
      </c>
      <c r="P312" s="12" t="str">
        <f t="shared" si="65"/>
        <v/>
      </c>
      <c r="Q312" s="13" t="e">
        <f t="shared" si="66"/>
        <v>#REF!</v>
      </c>
      <c r="R312" s="13" t="e">
        <f>IF(#REF!="","",IF(#REF!="","0",#REF!))</f>
        <v>#REF!</v>
      </c>
      <c r="S312" s="12" t="e">
        <f>IF(OR(#REF!="",J312=""),"",IF(OR((R312-#REF!)&gt;0,(I312-J312)&gt;0),"YES","NO"))</f>
        <v>#REF!</v>
      </c>
      <c r="T312" s="12" t="str">
        <f t="shared" si="67"/>
        <v/>
      </c>
      <c r="U312" s="12" t="str">
        <f t="shared" si="68"/>
        <v>YES</v>
      </c>
      <c r="V312" s="14" t="e">
        <f>IF(U312="NO","",IF(AND((COUNTBLANK(B312:B312)=0),OR(COUNTBLANK(I312)=0,COUNTBLANK(#REF!)=0),OR(COUNTBLANK(D312:G312)&lt;&gt;4,COUNTBLANK(#REF!)=0)),"YES","NO"))</f>
        <v>#REF!</v>
      </c>
      <c r="W312" s="14" t="e">
        <f>IF(U312="NO","",IF(SUM(#REF!,D312:G312)&gt;0,"YES","NO"))</f>
        <v>#REF!</v>
      </c>
      <c r="X312" s="14" t="e">
        <f>IF(OR(V312="NO",W312="NO",T312="AHFC",#REF!="AHFC"),"FLAG","")</f>
        <v>#REF!</v>
      </c>
      <c r="Y312" s="15" t="e">
        <f t="shared" si="69"/>
        <v>#REF!</v>
      </c>
    </row>
    <row r="313" spans="1:25" ht="12.75" hidden="1" customHeight="1" x14ac:dyDescent="0.2">
      <c r="A313" s="8">
        <v>141</v>
      </c>
      <c r="B313" s="161"/>
      <c r="C313" s="161"/>
      <c r="D313" s="451"/>
      <c r="E313" s="451"/>
      <c r="F313" s="451"/>
      <c r="G313" s="451"/>
      <c r="H313" s="161"/>
      <c r="I313" s="452"/>
      <c r="J313" s="20" t="str">
        <f>IFERROR(VLOOKUP($Q313,FeeLookup!$J$5:$L$33,2,FALSE),"")</f>
        <v/>
      </c>
      <c r="K313" s="20" t="str">
        <f>IFERROR(VLOOKUP($Q313,FeeLookup!$J$5:$L$33,3,FALSE),"")</f>
        <v/>
      </c>
      <c r="L313" s="413"/>
      <c r="M313" s="414"/>
      <c r="N313" s="5"/>
      <c r="O313" s="12" t="e">
        <f>RIGHT(#REF!,LEN(#REF!)-20)</f>
        <v>#REF!</v>
      </c>
      <c r="P313" s="12" t="str">
        <f t="shared" si="65"/>
        <v/>
      </c>
      <c r="Q313" s="13" t="e">
        <f t="shared" si="66"/>
        <v>#REF!</v>
      </c>
      <c r="R313" s="13" t="e">
        <f>IF(#REF!="","",IF(#REF!="","0",#REF!))</f>
        <v>#REF!</v>
      </c>
      <c r="S313" s="12" t="e">
        <f>IF(OR(#REF!="",J313=""),"",IF(OR((R313-#REF!)&gt;0,(I313-J313)&gt;0),"YES","NO"))</f>
        <v>#REF!</v>
      </c>
      <c r="T313" s="12" t="str">
        <f t="shared" si="67"/>
        <v/>
      </c>
      <c r="U313" s="12" t="str">
        <f t="shared" si="68"/>
        <v>YES</v>
      </c>
      <c r="V313" s="14" t="e">
        <f>IF(U313="NO","",IF(AND((COUNTBLANK(B313:B313)=0),OR(COUNTBLANK(I313)=0,COUNTBLANK(#REF!)=0),OR(COUNTBLANK(D313:G313)&lt;&gt;4,COUNTBLANK(#REF!)=0)),"YES","NO"))</f>
        <v>#REF!</v>
      </c>
      <c r="W313" s="14" t="e">
        <f>IF(U313="NO","",IF(SUM(#REF!,D313:G313)&gt;0,"YES","NO"))</f>
        <v>#REF!</v>
      </c>
      <c r="X313" s="14" t="e">
        <f>IF(OR(V313="NO",W313="NO",T313="AHFC",#REF!="AHFC"),"FLAG","")</f>
        <v>#REF!</v>
      </c>
      <c r="Y313" s="15" t="e">
        <f t="shared" si="69"/>
        <v>#REF!</v>
      </c>
    </row>
    <row r="314" spans="1:25" ht="12.75" hidden="1" customHeight="1" x14ac:dyDescent="0.2">
      <c r="A314" s="16">
        <v>142</v>
      </c>
      <c r="B314" s="422"/>
      <c r="C314" s="422"/>
      <c r="D314" s="453"/>
      <c r="E314" s="453"/>
      <c r="F314" s="453"/>
      <c r="G314" s="453"/>
      <c r="H314" s="422"/>
      <c r="I314" s="454"/>
      <c r="J314" s="11" t="str">
        <f>IFERROR(VLOOKUP($Q314,FeeLookup!$J$5:$L$33,2,FALSE),"")</f>
        <v/>
      </c>
      <c r="K314" s="11" t="str">
        <f>IFERROR(VLOOKUP($Q314,FeeLookup!$J$5:$L$33,3,FALSE),"")</f>
        <v/>
      </c>
      <c r="L314" s="413"/>
      <c r="M314" s="414"/>
      <c r="N314" s="5"/>
      <c r="O314" s="12" t="e">
        <f>RIGHT(#REF!,LEN(#REF!)-20)</f>
        <v>#REF!</v>
      </c>
      <c r="P314" s="12" t="str">
        <f t="shared" si="65"/>
        <v/>
      </c>
      <c r="Q314" s="13" t="e">
        <f t="shared" si="66"/>
        <v>#REF!</v>
      </c>
      <c r="R314" s="13" t="e">
        <f>IF(#REF!="","",IF(#REF!="","0",#REF!))</f>
        <v>#REF!</v>
      </c>
      <c r="S314" s="12" t="e">
        <f>IF(OR(#REF!="",J314=""),"",IF(OR((R314-#REF!)&gt;0,(I314-J314)&gt;0),"YES","NO"))</f>
        <v>#REF!</v>
      </c>
      <c r="T314" s="12" t="str">
        <f t="shared" si="67"/>
        <v/>
      </c>
      <c r="U314" s="12" t="str">
        <f t="shared" si="68"/>
        <v>YES</v>
      </c>
      <c r="V314" s="14" t="e">
        <f>IF(U314="NO","",IF(AND((COUNTBLANK(B314:B314)=0),OR(COUNTBLANK(I314)=0,COUNTBLANK(#REF!)=0),OR(COUNTBLANK(D314:G314)&lt;&gt;4,COUNTBLANK(#REF!)=0)),"YES","NO"))</f>
        <v>#REF!</v>
      </c>
      <c r="W314" s="14" t="e">
        <f>IF(U314="NO","",IF(SUM(#REF!,D314:G314)&gt;0,"YES","NO"))</f>
        <v>#REF!</v>
      </c>
      <c r="X314" s="14" t="e">
        <f>IF(OR(V314="NO",W314="NO",T314="AHFC",#REF!="AHFC"),"FLAG","")</f>
        <v>#REF!</v>
      </c>
      <c r="Y314" s="15" t="e">
        <f t="shared" si="69"/>
        <v>#REF!</v>
      </c>
    </row>
    <row r="315" spans="1:25" ht="12.75" hidden="1" customHeight="1" x14ac:dyDescent="0.2">
      <c r="A315" s="16">
        <v>143</v>
      </c>
      <c r="B315" s="422"/>
      <c r="C315" s="422"/>
      <c r="D315" s="453"/>
      <c r="E315" s="453"/>
      <c r="F315" s="453"/>
      <c r="G315" s="453"/>
      <c r="H315" s="422"/>
      <c r="I315" s="454"/>
      <c r="J315" s="11" t="str">
        <f>IFERROR(VLOOKUP($Q315,FeeLookup!$J$5:$L$33,2,FALSE),"")</f>
        <v/>
      </c>
      <c r="K315" s="11" t="str">
        <f>IFERROR(VLOOKUP($Q315,FeeLookup!$J$5:$L$33,3,FALSE),"")</f>
        <v/>
      </c>
      <c r="L315" s="413"/>
      <c r="M315" s="414"/>
      <c r="N315" s="5"/>
      <c r="O315" s="12" t="e">
        <f>RIGHT(#REF!,LEN(#REF!)-20)</f>
        <v>#REF!</v>
      </c>
      <c r="P315" s="12" t="str">
        <f t="shared" si="65"/>
        <v/>
      </c>
      <c r="Q315" s="13" t="e">
        <f t="shared" si="66"/>
        <v>#REF!</v>
      </c>
      <c r="R315" s="13" t="e">
        <f>IF(#REF!="","",IF(#REF!="","0",#REF!))</f>
        <v>#REF!</v>
      </c>
      <c r="S315" s="12" t="e">
        <f>IF(OR(#REF!="",J315=""),"",IF(OR((R315-#REF!)&gt;0,(I315-J315)&gt;0),"YES","NO"))</f>
        <v>#REF!</v>
      </c>
      <c r="T315" s="12" t="str">
        <f t="shared" si="67"/>
        <v/>
      </c>
      <c r="U315" s="12" t="str">
        <f t="shared" si="68"/>
        <v>YES</v>
      </c>
      <c r="V315" s="14" t="e">
        <f>IF(U315="NO","",IF(AND((COUNTBLANK(B315:B315)=0),OR(COUNTBLANK(I315)=0,COUNTBLANK(#REF!)=0),OR(COUNTBLANK(D315:G315)&lt;&gt;4,COUNTBLANK(#REF!)=0)),"YES","NO"))</f>
        <v>#REF!</v>
      </c>
      <c r="W315" s="14" t="e">
        <f>IF(U315="NO","",IF(SUM(#REF!,D315:G315)&gt;0,"YES","NO"))</f>
        <v>#REF!</v>
      </c>
      <c r="X315" s="14" t="e">
        <f>IF(OR(V315="NO",W315="NO",T315="AHFC",#REF!="AHFC"),"FLAG","")</f>
        <v>#REF!</v>
      </c>
      <c r="Y315" s="15" t="e">
        <f t="shared" si="69"/>
        <v>#REF!</v>
      </c>
    </row>
    <row r="316" spans="1:25" ht="12.75" hidden="1" customHeight="1" x14ac:dyDescent="0.2">
      <c r="A316" s="16">
        <v>144</v>
      </c>
      <c r="B316" s="422"/>
      <c r="C316" s="422"/>
      <c r="D316" s="453"/>
      <c r="E316" s="453"/>
      <c r="F316" s="453"/>
      <c r="G316" s="453"/>
      <c r="H316" s="422"/>
      <c r="I316" s="454"/>
      <c r="J316" s="19" t="str">
        <f>IFERROR(VLOOKUP($Q316,FeeLookup!$J$5:$L$33,2,FALSE),"")</f>
        <v/>
      </c>
      <c r="K316" s="19" t="str">
        <f>IFERROR(VLOOKUP($Q316,FeeLookup!$J$5:$L$33,3,FALSE),"")</f>
        <v/>
      </c>
      <c r="L316" s="413"/>
      <c r="M316" s="414"/>
      <c r="N316" s="5"/>
      <c r="O316" s="12" t="e">
        <f>RIGHT(#REF!,LEN(#REF!)-20)</f>
        <v>#REF!</v>
      </c>
      <c r="P316" s="12" t="str">
        <f t="shared" si="65"/>
        <v/>
      </c>
      <c r="Q316" s="13" t="e">
        <f t="shared" si="66"/>
        <v>#REF!</v>
      </c>
      <c r="R316" s="13" t="e">
        <f>IF(#REF!="","",IF(#REF!="","0",#REF!))</f>
        <v>#REF!</v>
      </c>
      <c r="S316" s="12" t="e">
        <f>IF(OR(#REF!="",J316=""),"",IF(OR((R316-#REF!)&gt;0,(I316-J316)&gt;0),"YES","NO"))</f>
        <v>#REF!</v>
      </c>
      <c r="T316" s="12" t="str">
        <f t="shared" si="67"/>
        <v/>
      </c>
      <c r="U316" s="12" t="str">
        <f t="shared" si="68"/>
        <v>YES</v>
      </c>
      <c r="V316" s="14" t="e">
        <f>IF(U316="NO","",IF(AND((COUNTBLANK(B316:B316)=0),OR(COUNTBLANK(I316)=0,COUNTBLANK(#REF!)=0),OR(COUNTBLANK(D316:G316)&lt;&gt;4,COUNTBLANK(#REF!)=0)),"YES","NO"))</f>
        <v>#REF!</v>
      </c>
      <c r="W316" s="14" t="e">
        <f>IF(U316="NO","",IF(SUM(#REF!,D316:G316)&gt;0,"YES","NO"))</f>
        <v>#REF!</v>
      </c>
      <c r="X316" s="14" t="e">
        <f>IF(OR(V316="NO",W316="NO",T316="AHFC",#REF!="AHFC"),"FLAG","")</f>
        <v>#REF!</v>
      </c>
      <c r="Y316" s="15" t="e">
        <f t="shared" si="69"/>
        <v>#REF!</v>
      </c>
    </row>
    <row r="317" spans="1:25" ht="12.75" hidden="1" customHeight="1" x14ac:dyDescent="0.2">
      <c r="A317" s="8">
        <v>145</v>
      </c>
      <c r="B317" s="161"/>
      <c r="C317" s="161"/>
      <c r="D317" s="451"/>
      <c r="E317" s="451"/>
      <c r="F317" s="451"/>
      <c r="G317" s="451"/>
      <c r="H317" s="161"/>
      <c r="I317" s="452"/>
      <c r="J317" s="20" t="str">
        <f>IFERROR(VLOOKUP($Q317,FeeLookup!$J$5:$L$33,2,FALSE),"")</f>
        <v/>
      </c>
      <c r="K317" s="20" t="str">
        <f>IFERROR(VLOOKUP($Q317,FeeLookup!$J$5:$L$33,3,FALSE),"")</f>
        <v/>
      </c>
      <c r="L317" s="413"/>
      <c r="M317" s="414"/>
      <c r="N317" s="5"/>
      <c r="O317" s="12" t="e">
        <f>RIGHT(#REF!,LEN(#REF!)-20)</f>
        <v>#REF!</v>
      </c>
      <c r="P317" s="12" t="str">
        <f t="shared" si="65"/>
        <v/>
      </c>
      <c r="Q317" s="13" t="e">
        <f t="shared" si="66"/>
        <v>#REF!</v>
      </c>
      <c r="R317" s="13" t="e">
        <f>IF(#REF!="","",IF(#REF!="","0",#REF!))</f>
        <v>#REF!</v>
      </c>
      <c r="S317" s="12" t="e">
        <f>IF(OR(#REF!="",J317=""),"",IF(OR((R317-#REF!)&gt;0,(I317-J317)&gt;0),"YES","NO"))</f>
        <v>#REF!</v>
      </c>
      <c r="T317" s="12" t="str">
        <f t="shared" si="67"/>
        <v/>
      </c>
      <c r="U317" s="12" t="str">
        <f t="shared" si="68"/>
        <v>YES</v>
      </c>
      <c r="V317" s="14" t="e">
        <f>IF(U317="NO","",IF(AND((COUNTBLANK(B317:B317)=0),OR(COUNTBLANK(I317)=0,COUNTBLANK(#REF!)=0),OR(COUNTBLANK(D317:G317)&lt;&gt;4,COUNTBLANK(#REF!)=0)),"YES","NO"))</f>
        <v>#REF!</v>
      </c>
      <c r="W317" s="14" t="e">
        <f>IF(U317="NO","",IF(SUM(#REF!,D317:G317)&gt;0,"YES","NO"))</f>
        <v>#REF!</v>
      </c>
      <c r="X317" s="14" t="e">
        <f>IF(OR(V317="NO",W317="NO",T317="AHFC",#REF!="AHFC"),"FLAG","")</f>
        <v>#REF!</v>
      </c>
      <c r="Y317" s="15" t="e">
        <f t="shared" si="69"/>
        <v>#REF!</v>
      </c>
    </row>
    <row r="318" spans="1:25" ht="12.75" hidden="1" customHeight="1" x14ac:dyDescent="0.2">
      <c r="A318" s="16">
        <v>146</v>
      </c>
      <c r="B318" s="422"/>
      <c r="C318" s="422"/>
      <c r="D318" s="453"/>
      <c r="E318" s="453"/>
      <c r="F318" s="453"/>
      <c r="G318" s="453"/>
      <c r="H318" s="422"/>
      <c r="I318" s="454"/>
      <c r="J318" s="11" t="str">
        <f>IFERROR(VLOOKUP($Q318,FeeLookup!$J$5:$L$33,2,FALSE),"")</f>
        <v/>
      </c>
      <c r="K318" s="11" t="str">
        <f>IFERROR(VLOOKUP($Q318,FeeLookup!$J$5:$L$33,3,FALSE),"")</f>
        <v/>
      </c>
      <c r="L318" s="413"/>
      <c r="M318" s="414"/>
      <c r="N318" s="5"/>
      <c r="O318" s="12" t="e">
        <f>RIGHT(#REF!,LEN(#REF!)-20)</f>
        <v>#REF!</v>
      </c>
      <c r="P318" s="12" t="str">
        <f t="shared" si="65"/>
        <v/>
      </c>
      <c r="Q318" s="13" t="e">
        <f t="shared" si="66"/>
        <v>#REF!</v>
      </c>
      <c r="R318" s="13" t="e">
        <f>IF(#REF!="","",IF(#REF!="","0",#REF!))</f>
        <v>#REF!</v>
      </c>
      <c r="S318" s="12" t="e">
        <f>IF(OR(#REF!="",J318=""),"",IF(OR((R318-#REF!)&gt;0,(I318-J318)&gt;0),"YES","NO"))</f>
        <v>#REF!</v>
      </c>
      <c r="T318" s="12" t="str">
        <f t="shared" si="67"/>
        <v/>
      </c>
      <c r="U318" s="12" t="str">
        <f t="shared" si="68"/>
        <v>YES</v>
      </c>
      <c r="V318" s="14" t="e">
        <f>IF(U318="NO","",IF(AND((COUNTBLANK(B318:B318)=0),OR(COUNTBLANK(I318)=0,COUNTBLANK(#REF!)=0),OR(COUNTBLANK(D318:G318)&lt;&gt;4,COUNTBLANK(#REF!)=0)),"YES","NO"))</f>
        <v>#REF!</v>
      </c>
      <c r="W318" s="14" t="e">
        <f>IF(U318="NO","",IF(SUM(#REF!,D318:G318)&gt;0,"YES","NO"))</f>
        <v>#REF!</v>
      </c>
      <c r="X318" s="14" t="e">
        <f>IF(OR(V318="NO",W318="NO",T318="AHFC",#REF!="AHFC"),"FLAG","")</f>
        <v>#REF!</v>
      </c>
      <c r="Y318" s="15" t="e">
        <f t="shared" si="69"/>
        <v>#REF!</v>
      </c>
    </row>
    <row r="319" spans="1:25" ht="12.75" hidden="1" customHeight="1" x14ac:dyDescent="0.2">
      <c r="A319" s="16">
        <v>147</v>
      </c>
      <c r="B319" s="422"/>
      <c r="C319" s="422"/>
      <c r="D319" s="453"/>
      <c r="E319" s="453"/>
      <c r="F319" s="453"/>
      <c r="G319" s="453"/>
      <c r="H319" s="422"/>
      <c r="I319" s="454"/>
      <c r="J319" s="11" t="str">
        <f>IFERROR(VLOOKUP($Q319,FeeLookup!$J$5:$L$33,2,FALSE),"")</f>
        <v/>
      </c>
      <c r="K319" s="11" t="str">
        <f>IFERROR(VLOOKUP($Q319,FeeLookup!$J$5:$L$33,3,FALSE),"")</f>
        <v/>
      </c>
      <c r="L319" s="413"/>
      <c r="M319" s="414"/>
      <c r="N319" s="5"/>
      <c r="O319" s="12" t="e">
        <f>RIGHT(#REF!,LEN(#REF!)-20)</f>
        <v>#REF!</v>
      </c>
      <c r="P319" s="12" t="str">
        <f t="shared" si="65"/>
        <v/>
      </c>
      <c r="Q319" s="13" t="e">
        <f t="shared" si="66"/>
        <v>#REF!</v>
      </c>
      <c r="R319" s="13" t="e">
        <f>IF(#REF!="","",IF(#REF!="","0",#REF!))</f>
        <v>#REF!</v>
      </c>
      <c r="S319" s="12" t="e">
        <f>IF(OR(#REF!="",J319=""),"",IF(OR((R319-#REF!)&gt;0,(I319-J319)&gt;0),"YES","NO"))</f>
        <v>#REF!</v>
      </c>
      <c r="T319" s="12" t="str">
        <f t="shared" si="67"/>
        <v/>
      </c>
      <c r="U319" s="12" t="str">
        <f t="shared" si="68"/>
        <v>YES</v>
      </c>
      <c r="V319" s="14" t="e">
        <f>IF(U319="NO","",IF(AND((COUNTBLANK(B319:B319)=0),OR(COUNTBLANK(I319)=0,COUNTBLANK(#REF!)=0),OR(COUNTBLANK(D319:G319)&lt;&gt;4,COUNTBLANK(#REF!)=0)),"YES","NO"))</f>
        <v>#REF!</v>
      </c>
      <c r="W319" s="14" t="e">
        <f>IF(U319="NO","",IF(SUM(#REF!,D319:G319)&gt;0,"YES","NO"))</f>
        <v>#REF!</v>
      </c>
      <c r="X319" s="14" t="e">
        <f>IF(OR(V319="NO",W319="NO",T319="AHFC",#REF!="AHFC"),"FLAG","")</f>
        <v>#REF!</v>
      </c>
      <c r="Y319" s="15" t="e">
        <f t="shared" si="69"/>
        <v>#REF!</v>
      </c>
    </row>
    <row r="320" spans="1:25" ht="12.75" hidden="1" customHeight="1" x14ac:dyDescent="0.2">
      <c r="A320" s="16">
        <v>148</v>
      </c>
      <c r="B320" s="422"/>
      <c r="C320" s="422"/>
      <c r="D320" s="453"/>
      <c r="E320" s="453"/>
      <c r="F320" s="453"/>
      <c r="G320" s="453"/>
      <c r="H320" s="422"/>
      <c r="I320" s="454"/>
      <c r="J320" s="19" t="str">
        <f>IFERROR(VLOOKUP($Q320,FeeLookup!$J$5:$L$33,2,FALSE),"")</f>
        <v/>
      </c>
      <c r="K320" s="19" t="str">
        <f>IFERROR(VLOOKUP($Q320,FeeLookup!$J$5:$L$33,3,FALSE),"")</f>
        <v/>
      </c>
      <c r="L320" s="413"/>
      <c r="M320" s="414"/>
      <c r="N320" s="5"/>
      <c r="O320" s="12" t="e">
        <f>RIGHT(#REF!,LEN(#REF!)-20)</f>
        <v>#REF!</v>
      </c>
      <c r="P320" s="12" t="str">
        <f t="shared" si="65"/>
        <v/>
      </c>
      <c r="Q320" s="13" t="e">
        <f t="shared" si="66"/>
        <v>#REF!</v>
      </c>
      <c r="R320" s="13" t="e">
        <f>IF(#REF!="","",IF(#REF!="","0",#REF!))</f>
        <v>#REF!</v>
      </c>
      <c r="S320" s="12" t="e">
        <f>IF(OR(#REF!="",J320=""),"",IF(OR((R320-#REF!)&gt;0,(I320-J320)&gt;0),"YES","NO"))</f>
        <v>#REF!</v>
      </c>
      <c r="T320" s="12" t="str">
        <f t="shared" si="67"/>
        <v/>
      </c>
      <c r="U320" s="12" t="str">
        <f t="shared" si="68"/>
        <v>YES</v>
      </c>
      <c r="V320" s="14" t="e">
        <f>IF(U320="NO","",IF(AND((COUNTBLANK(B320:B320)=0),OR(COUNTBLANK(I320)=0,COUNTBLANK(#REF!)=0),OR(COUNTBLANK(D320:G320)&lt;&gt;4,COUNTBLANK(#REF!)=0)),"YES","NO"))</f>
        <v>#REF!</v>
      </c>
      <c r="W320" s="14" t="e">
        <f>IF(U320="NO","",IF(SUM(#REF!,D320:G320)&gt;0,"YES","NO"))</f>
        <v>#REF!</v>
      </c>
      <c r="X320" s="14" t="e">
        <f>IF(OR(V320="NO",W320="NO",T320="AHFC",#REF!="AHFC"),"FLAG","")</f>
        <v>#REF!</v>
      </c>
      <c r="Y320" s="15" t="e">
        <f t="shared" si="69"/>
        <v>#REF!</v>
      </c>
    </row>
    <row r="321" spans="1:25" ht="12.75" hidden="1" customHeight="1" x14ac:dyDescent="0.2">
      <c r="A321" s="8">
        <v>149</v>
      </c>
      <c r="B321" s="161"/>
      <c r="C321" s="161"/>
      <c r="D321" s="451"/>
      <c r="E321" s="451"/>
      <c r="F321" s="451"/>
      <c r="G321" s="451"/>
      <c r="H321" s="161"/>
      <c r="I321" s="452"/>
      <c r="J321" s="20" t="str">
        <f>IFERROR(VLOOKUP($Q321,FeeLookup!$J$5:$L$33,2,FALSE),"")</f>
        <v/>
      </c>
      <c r="K321" s="20" t="str">
        <f>IFERROR(VLOOKUP($Q321,FeeLookup!$J$5:$L$33,3,FALSE),"")</f>
        <v/>
      </c>
      <c r="L321" s="413"/>
      <c r="M321" s="414"/>
      <c r="N321" s="5"/>
      <c r="O321" s="12" t="e">
        <f>RIGHT(#REF!,LEN(#REF!)-20)</f>
        <v>#REF!</v>
      </c>
      <c r="P321" s="12" t="str">
        <f t="shared" si="65"/>
        <v/>
      </c>
      <c r="Q321" s="13" t="e">
        <f t="shared" si="66"/>
        <v>#REF!</v>
      </c>
      <c r="R321" s="13" t="e">
        <f>IF(#REF!="","",IF(#REF!="","0",#REF!))</f>
        <v>#REF!</v>
      </c>
      <c r="S321" s="12" t="e">
        <f>IF(OR(#REF!="",J321=""),"",IF(OR((R321-#REF!)&gt;0,(I321-J321)&gt;0),"YES","NO"))</f>
        <v>#REF!</v>
      </c>
      <c r="T321" s="12" t="str">
        <f t="shared" si="67"/>
        <v/>
      </c>
      <c r="U321" s="12" t="str">
        <f t="shared" si="68"/>
        <v>YES</v>
      </c>
      <c r="V321" s="14" t="e">
        <f>IF(U321="NO","",IF(AND((COUNTBLANK(B321:B321)=0),OR(COUNTBLANK(I321)=0,COUNTBLANK(#REF!)=0),OR(COUNTBLANK(D321:G321)&lt;&gt;4,COUNTBLANK(#REF!)=0)),"YES","NO"))</f>
        <v>#REF!</v>
      </c>
      <c r="W321" s="14" t="e">
        <f>IF(U321="NO","",IF(SUM(#REF!,D321:G321)&gt;0,"YES","NO"))</f>
        <v>#REF!</v>
      </c>
      <c r="X321" s="14" t="e">
        <f>IF(OR(V321="NO",W321="NO",T321="AHFC",#REF!="AHFC"),"FLAG","")</f>
        <v>#REF!</v>
      </c>
      <c r="Y321" s="15" t="e">
        <f t="shared" si="69"/>
        <v>#REF!</v>
      </c>
    </row>
    <row r="322" spans="1:25" ht="12.75" hidden="1" customHeight="1" x14ac:dyDescent="0.2">
      <c r="A322" s="16">
        <v>150</v>
      </c>
      <c r="B322" s="422"/>
      <c r="C322" s="422"/>
      <c r="D322" s="453"/>
      <c r="E322" s="453"/>
      <c r="F322" s="453"/>
      <c r="G322" s="453"/>
      <c r="H322" s="422"/>
      <c r="I322" s="454"/>
      <c r="J322" s="11" t="str">
        <f>IFERROR(VLOOKUP($Q322,FeeLookup!$J$5:$L$33,2,FALSE),"")</f>
        <v/>
      </c>
      <c r="K322" s="11" t="str">
        <f>IFERROR(VLOOKUP($Q322,FeeLookup!$J$5:$L$33,3,FALSE),"")</f>
        <v/>
      </c>
      <c r="L322" s="413"/>
      <c r="M322" s="414"/>
      <c r="N322" s="5"/>
      <c r="O322" s="12" t="e">
        <f>RIGHT(#REF!,LEN(#REF!)-20)</f>
        <v>#REF!</v>
      </c>
      <c r="P322" s="12" t="str">
        <f t="shared" si="65"/>
        <v/>
      </c>
      <c r="Q322" s="13" t="e">
        <f t="shared" si="66"/>
        <v>#REF!</v>
      </c>
      <c r="R322" s="13" t="e">
        <f>IF(#REF!="","",IF(#REF!="","0",#REF!))</f>
        <v>#REF!</v>
      </c>
      <c r="S322" s="12" t="e">
        <f>IF(OR(#REF!="",J322=""),"",IF(OR((R322-#REF!)&gt;0,(I322-J322)&gt;0),"YES","NO"))</f>
        <v>#REF!</v>
      </c>
      <c r="T322" s="12" t="str">
        <f t="shared" si="67"/>
        <v/>
      </c>
      <c r="U322" s="12" t="str">
        <f t="shared" si="68"/>
        <v>YES</v>
      </c>
      <c r="V322" s="14" t="e">
        <f>IF(U322="NO","",IF(AND((COUNTBLANK(B322:B322)=0),OR(COUNTBLANK(I322)=0,COUNTBLANK(#REF!)=0),OR(COUNTBLANK(D322:G322)&lt;&gt;4,COUNTBLANK(#REF!)=0)),"YES","NO"))</f>
        <v>#REF!</v>
      </c>
      <c r="W322" s="14" t="e">
        <f>IF(U322="NO","",IF(SUM(#REF!,D322:G322)&gt;0,"YES","NO"))</f>
        <v>#REF!</v>
      </c>
      <c r="X322" s="14" t="e">
        <f>IF(OR(V322="NO",W322="NO",T322="AHFC",#REF!="AHFC"),"FLAG","")</f>
        <v>#REF!</v>
      </c>
      <c r="Y322" s="15" t="e">
        <f t="shared" si="69"/>
        <v>#REF!</v>
      </c>
    </row>
  </sheetData>
  <sheetProtection password="9A3D" sheet="1" objects="1" scenarios="1"/>
  <dataConsolidate/>
  <mergeCells count="40">
    <mergeCell ref="Z20:Z21"/>
    <mergeCell ref="AA20:AA21"/>
    <mergeCell ref="AB20:AB21"/>
    <mergeCell ref="AC20:AC21"/>
    <mergeCell ref="A15:K15"/>
    <mergeCell ref="T20:T21"/>
    <mergeCell ref="A16:K16"/>
    <mergeCell ref="A17:K17"/>
    <mergeCell ref="A19:K19"/>
    <mergeCell ref="A20:A21"/>
    <mergeCell ref="B20:B21"/>
    <mergeCell ref="C20:C21"/>
    <mergeCell ref="D20:G20"/>
    <mergeCell ref="H20:H21"/>
    <mergeCell ref="I20:K20"/>
    <mergeCell ref="O20:O21"/>
    <mergeCell ref="A2:K2"/>
    <mergeCell ref="L2:M2"/>
    <mergeCell ref="A3:K3"/>
    <mergeCell ref="A4:K4"/>
    <mergeCell ref="A7:K7"/>
    <mergeCell ref="A6:C6"/>
    <mergeCell ref="D6:G6"/>
    <mergeCell ref="D5:G5"/>
    <mergeCell ref="A8:K8"/>
    <mergeCell ref="A10:K10"/>
    <mergeCell ref="A11:K11"/>
    <mergeCell ref="A13:K13"/>
    <mergeCell ref="A14:K14"/>
    <mergeCell ref="A9:K9"/>
    <mergeCell ref="A12:K12"/>
    <mergeCell ref="V20:V21"/>
    <mergeCell ref="W20:W21"/>
    <mergeCell ref="X20:X21"/>
    <mergeCell ref="Y20:Y21"/>
    <mergeCell ref="P20:P21"/>
    <mergeCell ref="Q20:Q21"/>
    <mergeCell ref="R20:R21"/>
    <mergeCell ref="S20:S21"/>
    <mergeCell ref="U20:U21"/>
  </mergeCells>
  <conditionalFormatting sqref="I22:I171">
    <cfRule type="expression" dxfId="61" priority="4">
      <formula>IF(T22="AHFC",TRUE,FALSE)</formula>
    </cfRule>
    <cfRule type="expression" dxfId="60" priority="5">
      <formula>IF(T22="BBFC",TRUE,FALSE)</formula>
    </cfRule>
  </conditionalFormatting>
  <conditionalFormatting sqref="A173:A322">
    <cfRule type="expression" dxfId="59" priority="9">
      <formula>IF($X173="FLAG",TRUE,FALSE)</formula>
    </cfRule>
  </conditionalFormatting>
  <conditionalFormatting sqref="I173:I322">
    <cfRule type="expression" dxfId="58" priority="7">
      <formula>IF(T173="BBFC",TRUE,FALSE)</formula>
    </cfRule>
    <cfRule type="expression" dxfId="57" priority="8">
      <formula>IF(T173="AHFC",TRUE,FALSE)</formula>
    </cfRule>
  </conditionalFormatting>
  <conditionalFormatting sqref="A10:A13">
    <cfRule type="expression" dxfId="56" priority="3">
      <formula>IF(N10="FAILED",TRUE,FALSE)</formula>
    </cfRule>
  </conditionalFormatting>
  <conditionalFormatting sqref="A22:A171">
    <cfRule type="expression" dxfId="55" priority="62">
      <formula>IF($Y22="FLAG",TRUE,FALSE)</formula>
    </cfRule>
    <cfRule type="expression" dxfId="54" priority="63">
      <formula>IF(AND(COUNTBLANK(B173:L173)=14,COUNTBLANK(B22:L22)&lt;&gt;14),TRUE,FALSE)</formula>
    </cfRule>
    <cfRule type="expression" dxfId="53" priority="64">
      <formula>IF(B173&lt;&gt;B22,TRUE,IF(#REF!&lt;&gt;#REF!,TRUE,IF(#REF!&lt;&gt;#REF!,TRUE,IF(E173&lt;&gt;E22,TRUE,IF(F173&lt;&gt;F22,TRUE,IF(G173&lt;&gt;G22,TRUE,IF(G173&lt;&gt;G22,TRUE,FALSE)))))))</formula>
    </cfRule>
  </conditionalFormatting>
  <conditionalFormatting sqref="A9">
    <cfRule type="expression" dxfId="52" priority="2">
      <formula>IF(N9="FAILED",TRUE,FALSE)</formula>
    </cfRule>
  </conditionalFormatting>
  <conditionalFormatting sqref="D6:G6">
    <cfRule type="expression" dxfId="51" priority="1">
      <formula>IF(COUNTBLANK(D6)=1,TRUE,FALSE)</formula>
    </cfRule>
  </conditionalFormatting>
  <dataValidations count="5">
    <dataValidation type="decimal" operator="greaterThanOrEqual" allowBlank="1" showInputMessage="1" showErrorMessage="1" sqref="I22:I171 I173:I322" xr:uid="{00000000-0002-0000-0100-000000000000}">
      <formula1>0</formula1>
    </dataValidation>
    <dataValidation type="list" allowBlank="1" showInputMessage="1" showErrorMessage="1" sqref="H172:H322 B22:B322" xr:uid="{00000000-0002-0000-0100-000001000000}">
      <formula1>FTF_course_type</formula1>
    </dataValidation>
    <dataValidation type="whole" operator="greaterThanOrEqual" allowBlank="1" showInputMessage="1" showErrorMessage="1" sqref="D173:G322 D22:G171" xr:uid="{00000000-0002-0000-0100-000002000000}">
      <formula1>0</formula1>
    </dataValidation>
    <dataValidation type="list" allowBlank="1" showInputMessage="1" showErrorMessage="1" sqref="D6" xr:uid="{00000000-0002-0000-0100-000003000000}">
      <formula1>TEF2_status</formula1>
    </dataValidation>
    <dataValidation type="list" allowBlank="1" showInputMessage="1" showErrorMessage="1" sqref="H22:H171" xr:uid="{00000000-0002-0000-0100-000004000000}">
      <formula1>GEN_yes_no</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D319"/>
  <sheetViews>
    <sheetView zoomScaleNormal="100" workbookViewId="0">
      <selection sqref="A1:L1"/>
    </sheetView>
  </sheetViews>
  <sheetFormatPr defaultColWidth="0" defaultRowHeight="12.75" zeroHeight="1" x14ac:dyDescent="0.2"/>
  <cols>
    <col min="1" max="1" width="5.7109375" style="4" bestFit="1" customWidth="1"/>
    <col min="2" max="2" width="40.7109375" style="4" customWidth="1"/>
    <col min="3" max="3" width="49.5703125" style="4" customWidth="1"/>
    <col min="4" max="4" width="43.5703125" style="4" customWidth="1"/>
    <col min="5" max="8" width="14.5703125" style="4" customWidth="1"/>
    <col min="9" max="9" width="10.85546875" style="4" customWidth="1"/>
    <col min="10" max="12" width="14.5703125" style="4" customWidth="1"/>
    <col min="13" max="13" width="13.7109375" style="2" hidden="1" customWidth="1"/>
    <col min="14" max="14" width="13.7109375" style="4" hidden="1" customWidth="1"/>
    <col min="15" max="15" width="13.7109375" style="2" hidden="1" customWidth="1"/>
    <col min="16" max="16" width="25.7109375" style="2" hidden="1" customWidth="1"/>
    <col min="17" max="17" width="17.140625" style="2" hidden="1" customWidth="1"/>
    <col min="18" max="20" width="17" style="2" hidden="1" customWidth="1"/>
    <col min="21" max="21" width="21" style="3" hidden="1" customWidth="1"/>
    <col min="22" max="22" width="18.7109375" style="3" hidden="1" customWidth="1"/>
    <col min="23" max="23" width="9.140625" style="4" hidden="1" customWidth="1"/>
    <col min="24" max="24" width="11.140625" style="4" hidden="1" customWidth="1"/>
    <col min="25" max="25" width="9.140625" style="4" hidden="1" customWidth="1"/>
    <col min="26" max="26" width="12.7109375" style="4" hidden="1" customWidth="1"/>
    <col min="27" max="16384" width="9.140625" style="342" hidden="1"/>
  </cols>
  <sheetData>
    <row r="1" spans="1:26" ht="30.75" customHeight="1" x14ac:dyDescent="0.2">
      <c r="A1" s="593" t="s">
        <v>536</v>
      </c>
      <c r="B1" s="594"/>
      <c r="C1" s="594"/>
      <c r="D1" s="594"/>
      <c r="E1" s="594"/>
      <c r="F1" s="594"/>
      <c r="G1" s="594"/>
      <c r="H1" s="594"/>
      <c r="I1" s="594"/>
      <c r="J1" s="594"/>
      <c r="K1" s="594"/>
      <c r="L1" s="594"/>
      <c r="M1" s="595" t="s">
        <v>61</v>
      </c>
      <c r="N1" s="596"/>
      <c r="U1" s="2"/>
      <c r="V1" s="2"/>
      <c r="W1" s="3"/>
      <c r="X1" s="3"/>
      <c r="Y1" s="3"/>
      <c r="Z1" s="2"/>
    </row>
    <row r="2" spans="1:26" ht="18.75" customHeight="1" x14ac:dyDescent="0.2">
      <c r="A2" s="597" t="str">
        <f>Contact!A2</f>
        <v>Institution name: Derby College</v>
      </c>
      <c r="B2" s="598"/>
      <c r="C2" s="598"/>
      <c r="D2" s="598"/>
      <c r="E2" s="598"/>
      <c r="F2" s="598"/>
      <c r="G2" s="598"/>
      <c r="H2" s="598"/>
      <c r="I2" s="598"/>
      <c r="J2" s="598"/>
      <c r="K2" s="598"/>
      <c r="L2" s="598"/>
      <c r="M2" s="413"/>
      <c r="N2" s="414"/>
      <c r="U2" s="2"/>
      <c r="W2" s="3"/>
      <c r="X2" s="3"/>
    </row>
    <row r="3" spans="1:26" ht="18.75" customHeight="1" x14ac:dyDescent="0.2">
      <c r="A3" s="635" t="str">
        <f>Contact!A3</f>
        <v>Institution UKPRN: 10001919</v>
      </c>
      <c r="B3" s="636"/>
      <c r="C3" s="636"/>
      <c r="D3" s="636"/>
      <c r="E3" s="636"/>
      <c r="F3" s="636"/>
      <c r="G3" s="636"/>
      <c r="H3" s="636"/>
      <c r="I3" s="636"/>
      <c r="J3" s="636"/>
      <c r="K3" s="636"/>
      <c r="L3" s="636"/>
      <c r="M3" s="413"/>
      <c r="N3" s="414"/>
      <c r="U3" s="2"/>
      <c r="W3" s="3"/>
      <c r="X3" s="3"/>
    </row>
    <row r="4" spans="1:26" s="341" customFormat="1" ht="18.75" customHeight="1" x14ac:dyDescent="0.2">
      <c r="A4" s="597" t="str">
        <f>CONCATENATE('FT Fee'!A6,'FT Fee'!D6)</f>
        <v>Expected TEF year 3 status: We hold or have applied for a TEF award for 2019-20.</v>
      </c>
      <c r="B4" s="598"/>
      <c r="C4" s="598"/>
      <c r="D4" s="598"/>
      <c r="E4" s="598"/>
      <c r="F4" s="598"/>
      <c r="G4" s="598"/>
      <c r="H4" s="598"/>
      <c r="I4" s="598"/>
      <c r="J4" s="598"/>
      <c r="K4" s="598"/>
      <c r="L4" s="598"/>
      <c r="M4" s="413"/>
      <c r="N4" s="414"/>
      <c r="O4" s="27"/>
      <c r="P4" s="2"/>
      <c r="Q4" s="2"/>
      <c r="R4" s="2"/>
      <c r="S4" s="2"/>
      <c r="T4" s="2"/>
      <c r="U4" s="2"/>
      <c r="V4" s="3"/>
      <c r="W4" s="3"/>
      <c r="X4" s="3"/>
      <c r="Y4" s="4"/>
      <c r="Z4" s="4"/>
    </row>
    <row r="5" spans="1:26" ht="18.75" customHeight="1" x14ac:dyDescent="0.2">
      <c r="A5" s="601"/>
      <c r="B5" s="602"/>
      <c r="C5" s="602"/>
      <c r="D5" s="602"/>
      <c r="E5" s="602"/>
      <c r="F5" s="602"/>
      <c r="G5" s="602"/>
      <c r="H5" s="602"/>
      <c r="I5" s="602"/>
      <c r="J5" s="602"/>
      <c r="K5" s="602"/>
      <c r="L5" s="602"/>
      <c r="M5" s="413"/>
      <c r="N5" s="414"/>
      <c r="P5" s="27"/>
      <c r="Q5" s="27"/>
      <c r="R5" s="27"/>
      <c r="S5" s="27"/>
      <c r="T5" s="27"/>
      <c r="U5" s="27"/>
      <c r="V5" s="27"/>
      <c r="W5" s="27"/>
      <c r="X5" s="27"/>
      <c r="Y5" s="27"/>
      <c r="Z5" s="27"/>
    </row>
    <row r="6" spans="1:26" ht="18.75" customHeight="1" x14ac:dyDescent="0.2">
      <c r="A6" s="586" t="s">
        <v>59</v>
      </c>
      <c r="B6" s="587"/>
      <c r="C6" s="587"/>
      <c r="D6" s="587"/>
      <c r="E6" s="587"/>
      <c r="F6" s="587"/>
      <c r="G6" s="587"/>
      <c r="H6" s="587"/>
      <c r="I6" s="587"/>
      <c r="J6" s="587"/>
      <c r="K6" s="587"/>
      <c r="L6" s="587"/>
      <c r="M6" s="413"/>
      <c r="N6" s="414"/>
      <c r="O6" s="31" t="s">
        <v>35</v>
      </c>
      <c r="U6" s="2"/>
      <c r="W6" s="3"/>
      <c r="X6" s="3"/>
    </row>
    <row r="7" spans="1:26" ht="18.75" customHeight="1" x14ac:dyDescent="0.2">
      <c r="A7" s="588" t="s">
        <v>572</v>
      </c>
      <c r="B7" s="589"/>
      <c r="C7" s="589"/>
      <c r="D7" s="589"/>
      <c r="E7" s="589"/>
      <c r="F7" s="589"/>
      <c r="G7" s="589"/>
      <c r="H7" s="589"/>
      <c r="I7" s="589"/>
      <c r="J7" s="589"/>
      <c r="K7" s="589"/>
      <c r="L7" s="589"/>
      <c r="M7" s="413"/>
      <c r="N7" s="414"/>
      <c r="O7" s="34" t="str">
        <f>IF(COUNTIF(W19:W165,"NO")&gt;0,"FAILED","PASSED")</f>
        <v>PASSED</v>
      </c>
      <c r="U7" s="2"/>
      <c r="W7" s="3"/>
      <c r="X7" s="3"/>
    </row>
    <row r="8" spans="1:26" ht="18.75" customHeight="1" x14ac:dyDescent="0.2">
      <c r="A8" s="588" t="s">
        <v>508</v>
      </c>
      <c r="B8" s="589"/>
      <c r="C8" s="589"/>
      <c r="D8" s="589"/>
      <c r="E8" s="589"/>
      <c r="F8" s="589"/>
      <c r="G8" s="589"/>
      <c r="H8" s="589"/>
      <c r="I8" s="589"/>
      <c r="J8" s="589"/>
      <c r="K8" s="589"/>
      <c r="L8" s="590"/>
      <c r="M8" s="440"/>
      <c r="N8" s="441"/>
      <c r="O8" s="34" t="str">
        <f>IF(COUNTBLANK(B19:B168)=150,"PASSED",IF(COUNTBLANK(I19:I168)=150,"FAILED","PASSED"))</f>
        <v>PASSED</v>
      </c>
      <c r="U8" s="2"/>
      <c r="W8" s="3"/>
      <c r="X8" s="3"/>
    </row>
    <row r="9" spans="1:26" ht="18.75" customHeight="1" x14ac:dyDescent="0.2">
      <c r="A9" s="588" t="s">
        <v>482</v>
      </c>
      <c r="B9" s="589"/>
      <c r="C9" s="589"/>
      <c r="D9" s="589"/>
      <c r="E9" s="589"/>
      <c r="F9" s="589"/>
      <c r="G9" s="589"/>
      <c r="H9" s="589"/>
      <c r="I9" s="589"/>
      <c r="J9" s="589"/>
      <c r="K9" s="589"/>
      <c r="L9" s="589"/>
      <c r="M9" s="413"/>
      <c r="N9" s="414"/>
      <c r="O9" s="34" t="str">
        <f>IF((COUNTIF(U19:U165,"AHFC")+COUNTIF(U19:U165,"AHFC"))&gt;0,"FAILED","PASSED")</f>
        <v>PASSED</v>
      </c>
      <c r="U9" s="2"/>
      <c r="W9" s="3"/>
      <c r="X9" s="3"/>
    </row>
    <row r="10" spans="1:26" ht="18.75" customHeight="1" x14ac:dyDescent="0.2">
      <c r="A10" s="601"/>
      <c r="B10" s="602"/>
      <c r="C10" s="602"/>
      <c r="D10" s="602"/>
      <c r="E10" s="602"/>
      <c r="F10" s="602"/>
      <c r="G10" s="602"/>
      <c r="H10" s="602"/>
      <c r="I10" s="602"/>
      <c r="J10" s="602"/>
      <c r="K10" s="602"/>
      <c r="L10" s="602"/>
      <c r="M10" s="413"/>
      <c r="N10" s="414"/>
      <c r="U10" s="2"/>
      <c r="W10" s="3"/>
      <c r="X10" s="3"/>
    </row>
    <row r="11" spans="1:26" ht="18.75" hidden="1" customHeight="1" x14ac:dyDescent="0.2">
      <c r="A11" s="597" t="s">
        <v>60</v>
      </c>
      <c r="B11" s="598"/>
      <c r="C11" s="598"/>
      <c r="D11" s="598"/>
      <c r="E11" s="598"/>
      <c r="F11" s="598"/>
      <c r="G11" s="598"/>
      <c r="H11" s="598"/>
      <c r="I11" s="598"/>
      <c r="J11" s="598"/>
      <c r="K11" s="598"/>
      <c r="L11" s="598"/>
      <c r="M11" s="413"/>
      <c r="N11" s="414"/>
      <c r="U11" s="2"/>
      <c r="W11" s="3"/>
      <c r="X11" s="3"/>
    </row>
    <row r="12" spans="1:26" ht="14.25" hidden="1" x14ac:dyDescent="0.2">
      <c r="A12" s="610" t="s">
        <v>438</v>
      </c>
      <c r="B12" s="611"/>
      <c r="C12" s="611"/>
      <c r="D12" s="611"/>
      <c r="E12" s="611"/>
      <c r="F12" s="611"/>
      <c r="G12" s="611"/>
      <c r="H12" s="611"/>
      <c r="I12" s="611"/>
      <c r="J12" s="611"/>
      <c r="K12" s="611"/>
      <c r="L12" s="611"/>
      <c r="M12" s="413"/>
      <c r="N12" s="414"/>
      <c r="O12" s="4"/>
      <c r="U12" s="2"/>
      <c r="W12" s="3"/>
      <c r="X12" s="3"/>
    </row>
    <row r="13" spans="1:26" ht="18.75" hidden="1" customHeight="1" x14ac:dyDescent="0.2">
      <c r="A13" s="62"/>
      <c r="B13" s="63"/>
      <c r="C13" s="64"/>
      <c r="D13" s="64"/>
      <c r="E13" s="66"/>
      <c r="F13" s="66"/>
      <c r="G13" s="66"/>
      <c r="H13" s="66"/>
      <c r="I13" s="66"/>
      <c r="J13" s="64"/>
      <c r="K13" s="66"/>
      <c r="L13" s="66"/>
      <c r="M13" s="413"/>
      <c r="N13" s="414"/>
      <c r="O13" s="4"/>
      <c r="U13" s="2"/>
      <c r="W13" s="3"/>
      <c r="X13" s="3"/>
    </row>
    <row r="14" spans="1:26" s="343" customFormat="1" hidden="1" x14ac:dyDescent="0.2">
      <c r="A14" s="6" t="s">
        <v>1</v>
      </c>
      <c r="B14" s="420" t="s">
        <v>2</v>
      </c>
      <c r="C14" s="420" t="s">
        <v>62</v>
      </c>
      <c r="D14" s="7" t="s">
        <v>3</v>
      </c>
      <c r="E14" s="420" t="s">
        <v>5</v>
      </c>
      <c r="F14" s="7" t="s">
        <v>6</v>
      </c>
      <c r="G14" s="420" t="s">
        <v>7</v>
      </c>
      <c r="H14" s="7" t="s">
        <v>405</v>
      </c>
      <c r="I14" s="7" t="s">
        <v>415</v>
      </c>
      <c r="J14" s="420" t="s">
        <v>8</v>
      </c>
      <c r="K14" s="7" t="s">
        <v>9</v>
      </c>
      <c r="L14" s="421" t="s">
        <v>10</v>
      </c>
      <c r="M14" s="413" t="s">
        <v>11</v>
      </c>
      <c r="N14" s="414" t="s">
        <v>0</v>
      </c>
      <c r="O14" s="2"/>
      <c r="P14" s="2"/>
      <c r="Q14" s="2"/>
      <c r="R14" s="2"/>
      <c r="S14" s="3"/>
      <c r="T14" s="3"/>
      <c r="U14" s="3"/>
      <c r="V14" s="4"/>
      <c r="W14" s="2"/>
      <c r="X14" s="2"/>
      <c r="Y14" s="2"/>
      <c r="Z14" s="2"/>
    </row>
    <row r="15" spans="1:26" ht="29.25" customHeight="1" x14ac:dyDescent="0.2">
      <c r="A15" s="615" t="s">
        <v>537</v>
      </c>
      <c r="B15" s="616"/>
      <c r="C15" s="616"/>
      <c r="D15" s="616"/>
      <c r="E15" s="616"/>
      <c r="F15" s="616"/>
      <c r="G15" s="616"/>
      <c r="H15" s="616"/>
      <c r="I15" s="616"/>
      <c r="J15" s="616"/>
      <c r="K15" s="616"/>
      <c r="L15" s="617"/>
      <c r="M15" s="413"/>
      <c r="N15" s="414"/>
      <c r="O15" s="4"/>
      <c r="Q15" s="67"/>
      <c r="U15" s="2"/>
      <c r="V15" s="2"/>
      <c r="W15" s="3"/>
      <c r="X15" s="3"/>
      <c r="Y15" s="3"/>
    </row>
    <row r="16" spans="1:26" ht="29.25" customHeight="1" x14ac:dyDescent="0.2">
      <c r="A16" s="618" t="s">
        <v>14</v>
      </c>
      <c r="B16" s="618" t="s">
        <v>15</v>
      </c>
      <c r="C16" s="618" t="s">
        <v>63</v>
      </c>
      <c r="D16" s="626" t="s">
        <v>439</v>
      </c>
      <c r="E16" s="629" t="s">
        <v>534</v>
      </c>
      <c r="F16" s="629"/>
      <c r="G16" s="629"/>
      <c r="H16" s="630"/>
      <c r="I16" s="626" t="s">
        <v>408</v>
      </c>
      <c r="J16" s="633" t="s">
        <v>66</v>
      </c>
      <c r="K16" s="633"/>
      <c r="L16" s="633"/>
      <c r="M16" s="413"/>
      <c r="N16" s="414"/>
      <c r="O16" s="4"/>
      <c r="R16" s="3"/>
      <c r="S16" s="3"/>
      <c r="T16" s="3"/>
      <c r="U16" s="4"/>
      <c r="V16" s="4"/>
    </row>
    <row r="17" spans="1:30" ht="21" customHeight="1" x14ac:dyDescent="0.2">
      <c r="A17" s="625"/>
      <c r="B17" s="625"/>
      <c r="C17" s="625"/>
      <c r="D17" s="627"/>
      <c r="E17" s="631"/>
      <c r="F17" s="631"/>
      <c r="G17" s="631"/>
      <c r="H17" s="632"/>
      <c r="I17" s="627"/>
      <c r="J17" s="633" t="s">
        <v>24</v>
      </c>
      <c r="K17" s="634" t="s">
        <v>22</v>
      </c>
      <c r="L17" s="634" t="s">
        <v>23</v>
      </c>
      <c r="M17" s="413"/>
      <c r="N17" s="414"/>
      <c r="O17" s="4"/>
      <c r="P17" s="585" t="s">
        <v>93</v>
      </c>
      <c r="Q17" s="581" t="s">
        <v>16</v>
      </c>
      <c r="R17" s="582" t="s">
        <v>91</v>
      </c>
      <c r="S17" s="584" t="s">
        <v>89</v>
      </c>
      <c r="T17" s="584" t="s">
        <v>17</v>
      </c>
      <c r="U17" s="581" t="s">
        <v>90</v>
      </c>
      <c r="V17" s="581" t="s">
        <v>18</v>
      </c>
      <c r="W17" s="579" t="s">
        <v>19</v>
      </c>
      <c r="X17" s="580" t="s">
        <v>20</v>
      </c>
      <c r="Y17" s="580" t="s">
        <v>21</v>
      </c>
      <c r="Z17" s="580" t="s">
        <v>92</v>
      </c>
      <c r="AA17" s="609" t="s">
        <v>511</v>
      </c>
      <c r="AB17" s="609" t="s">
        <v>515</v>
      </c>
      <c r="AC17" s="609" t="s">
        <v>513</v>
      </c>
      <c r="AD17" s="609" t="s">
        <v>514</v>
      </c>
    </row>
    <row r="18" spans="1:30" ht="30" customHeight="1" x14ac:dyDescent="0.2">
      <c r="A18" s="619"/>
      <c r="B18" s="619"/>
      <c r="C18" s="83" t="s">
        <v>64</v>
      </c>
      <c r="D18" s="628"/>
      <c r="E18" s="69" t="s">
        <v>26</v>
      </c>
      <c r="F18" s="69" t="s">
        <v>27</v>
      </c>
      <c r="G18" s="69" t="s">
        <v>28</v>
      </c>
      <c r="H18" s="69" t="s">
        <v>30</v>
      </c>
      <c r="I18" s="628"/>
      <c r="J18" s="633"/>
      <c r="K18" s="634"/>
      <c r="L18" s="634"/>
      <c r="M18" s="413"/>
      <c r="N18" s="414"/>
      <c r="O18" s="4"/>
      <c r="P18" s="585"/>
      <c r="Q18" s="581"/>
      <c r="R18" s="583"/>
      <c r="S18" s="585"/>
      <c r="T18" s="585"/>
      <c r="U18" s="581"/>
      <c r="V18" s="581"/>
      <c r="W18" s="579"/>
      <c r="X18" s="579"/>
      <c r="Y18" s="579"/>
      <c r="Z18" s="579"/>
      <c r="AA18" s="609"/>
      <c r="AB18" s="609"/>
      <c r="AC18" s="609"/>
      <c r="AD18" s="609"/>
    </row>
    <row r="19" spans="1:30" ht="12.75" customHeight="1" x14ac:dyDescent="0.2">
      <c r="A19" s="70">
        <v>1</v>
      </c>
      <c r="B19" s="9"/>
      <c r="C19" s="9"/>
      <c r="D19" s="9"/>
      <c r="E19" s="496"/>
      <c r="F19" s="496"/>
      <c r="G19" s="496"/>
      <c r="H19" s="496"/>
      <c r="I19" s="72"/>
      <c r="J19" s="490"/>
      <c r="K19" s="491" t="str">
        <f>IFERROR(VLOOKUP($R19,FeeLookup!$J$5:$L$33,2,FALSE),"")</f>
        <v/>
      </c>
      <c r="L19" s="491" t="str">
        <f>IFERROR(VLOOKUP($R19,FeeLookup!$J$5:$L$33,3,FALSE),"")</f>
        <v/>
      </c>
      <c r="M19" s="413" t="s">
        <v>65</v>
      </c>
      <c r="N19" s="414">
        <v>1</v>
      </c>
      <c r="O19" s="4"/>
      <c r="P19" s="12" t="str">
        <f>IF($A$4="Expected TEF year 3 status: We hold or have applied for a TEF award for 2019-20.","TEF","No TEF")</f>
        <v>TEF</v>
      </c>
      <c r="Q19" s="12" t="str">
        <f>IF(B19="","",IF(B19="Erasmus and overseas study years","LOWER",IF(B19="Sandwich year","SAND",IF(B19="Accelerated Degree","ACCEL","FULL"))))</f>
        <v/>
      </c>
      <c r="R19" s="13" t="str">
        <f>CONCATENATE(Q19,IF(P19="No TEF","_NO_TEF_",IF(P19="TEF","_TEF_","")))</f>
        <v>_TEF_</v>
      </c>
      <c r="S19" s="13" t="str">
        <f>IF(K19="","",IF(J19="","0",J19))</f>
        <v/>
      </c>
      <c r="T19" s="12" t="str">
        <f>IF(K19="","",IF((J19-K19)&gt;0,"YES","NO"))</f>
        <v/>
      </c>
      <c r="U19" s="12" t="str">
        <f>IF(J19="","",IF(J19&lt;K19,"BBFC",IF(J19&gt;L19,"AHFC","BBHFC")))</f>
        <v/>
      </c>
      <c r="V19" s="12" t="str">
        <f t="shared" ref="V19:V50" si="0">IF(COUNTBLANK(B19:J19)=9,"NO","YES")</f>
        <v>NO</v>
      </c>
      <c r="W19" s="14" t="str">
        <f>IF(V19="NO","",IF(AND(COUNTBLANK(B19:C19)=0,COUNTBLANK(J19)=0, COUNTBLANK(I19)=0,COUNTBLANK(E19:H19)&lt;&gt;4),"YES","NO"))</f>
        <v/>
      </c>
      <c r="X19" s="14" t="str">
        <f t="shared" ref="X19:X82" si="1">IF(V19="NO","",IF(SUM(E19:H19)&gt;0,"YES","NO"))</f>
        <v/>
      </c>
      <c r="Y19" s="14" t="str">
        <f>IF(OR(W19="NO",X19="NO",U19="AHFC"),"FLAG","")</f>
        <v/>
      </c>
      <c r="Z19" s="15" t="str">
        <f>IF(OR(J19="",W19=""),"",IF(J19-K19&lt;0,0,J19-K19))</f>
        <v/>
      </c>
      <c r="AA19" s="342">
        <f>IF(IF(ISERROR($J19-$K19)=TRUE,0,$J19-$K19)&gt;0,E19,0)</f>
        <v>0</v>
      </c>
      <c r="AB19" s="342">
        <f t="shared" ref="AB19:AD34" si="2">IF(IF(ISERROR($J19-$K19)=TRUE,0,$J19-$K19)&gt;0,F19,0)</f>
        <v>0</v>
      </c>
      <c r="AC19" s="342">
        <f t="shared" si="2"/>
        <v>0</v>
      </c>
      <c r="AD19" s="342">
        <f t="shared" si="2"/>
        <v>0</v>
      </c>
    </row>
    <row r="20" spans="1:30" ht="12.75" customHeight="1" x14ac:dyDescent="0.2">
      <c r="A20" s="71">
        <v>2</v>
      </c>
      <c r="B20" s="17"/>
      <c r="C20" s="17"/>
      <c r="D20" s="17"/>
      <c r="E20" s="497"/>
      <c r="F20" s="497"/>
      <c r="G20" s="497"/>
      <c r="H20" s="497"/>
      <c r="I20" s="73"/>
      <c r="J20" s="492"/>
      <c r="K20" s="493" t="str">
        <f>IFERROR(VLOOKUP($R20,FeeLookup!$J$5:$L$33,2,FALSE),"")</f>
        <v/>
      </c>
      <c r="L20" s="493" t="str">
        <f>IFERROR(VLOOKUP($R20,FeeLookup!$J$5:$L$33,3,FALSE),"")</f>
        <v/>
      </c>
      <c r="M20" s="413" t="s">
        <v>65</v>
      </c>
      <c r="N20" s="414">
        <v>2</v>
      </c>
      <c r="O20" s="4"/>
      <c r="P20" s="12" t="str">
        <f t="shared" ref="P20:P83" si="3">IF($A$4="Expected TEF year 3 status: We hold or have applied for a TEF award for 2019-20.","TEF","No TEF")</f>
        <v>TEF</v>
      </c>
      <c r="Q20" s="12" t="str">
        <f t="shared" ref="Q20:Q83" si="4">IF(B20="","",IF(B20="Erasmus and overseas study years","LOWER",IF(B20="Sandwich year","SAND",IF(B20="Accelerated Degree","ACCEL","FULL"))))</f>
        <v/>
      </c>
      <c r="R20" s="13" t="str">
        <f t="shared" ref="R20:R83" si="5">CONCATENATE(Q20,IF(P20="No TEF","_NO_TEF_",IF(P20="TEF","_TEF_","")))</f>
        <v>_TEF_</v>
      </c>
      <c r="S20" s="13" t="str">
        <f t="shared" ref="S20:S83" si="6">IF(K20="","",IF(J20="","0",J20))</f>
        <v/>
      </c>
      <c r="T20" s="12" t="str">
        <f t="shared" ref="T20:T83" si="7">IF(K20="","",IF((J20-K20)&gt;0,"YES","NO"))</f>
        <v/>
      </c>
      <c r="U20" s="12" t="str">
        <f t="shared" ref="U20:U83" si="8">IF(J20="","",IF(J20&lt;K20,"BBFC",IF(J20&gt;L20,"AHFC","BBHFC")))</f>
        <v/>
      </c>
      <c r="V20" s="12" t="str">
        <f t="shared" si="0"/>
        <v>NO</v>
      </c>
      <c r="W20" s="14" t="str">
        <f t="shared" ref="W20:W83" si="9">IF(V20="NO","",IF(AND(COUNTBLANK(B20:C20)=0,COUNTBLANK(J20)=0, COUNTBLANK(I20)=0,COUNTBLANK(E20:H20)&lt;&gt;4),"YES","NO"))</f>
        <v/>
      </c>
      <c r="X20" s="14" t="str">
        <f t="shared" si="1"/>
        <v/>
      </c>
      <c r="Y20" s="14" t="str">
        <f t="shared" ref="Y20:Y83" si="10">IF(OR(W20="NO",X20="NO",U20="AHFC"),"FLAG","")</f>
        <v/>
      </c>
      <c r="Z20" s="15" t="str">
        <f t="shared" ref="Z20:Z83" si="11">IF(OR(J20="",W20=""),"",IF(J20-K20&lt;0,0,J20-K20))</f>
        <v/>
      </c>
      <c r="AA20" s="342">
        <f t="shared" ref="AA20:AB83" si="12">IF(IF(ISERROR($J20-$K20)=TRUE,0,$J20-$K20)&gt;0,E20,0)</f>
        <v>0</v>
      </c>
      <c r="AB20" s="342">
        <f t="shared" si="2"/>
        <v>0</v>
      </c>
      <c r="AC20" s="342">
        <f t="shared" si="2"/>
        <v>0</v>
      </c>
      <c r="AD20" s="342">
        <f t="shared" si="2"/>
        <v>0</v>
      </c>
    </row>
    <row r="21" spans="1:30" ht="12.75" customHeight="1" x14ac:dyDescent="0.2">
      <c r="A21" s="71">
        <v>3</v>
      </c>
      <c r="B21" s="17"/>
      <c r="C21" s="17"/>
      <c r="D21" s="17"/>
      <c r="E21" s="497"/>
      <c r="F21" s="497"/>
      <c r="G21" s="497"/>
      <c r="H21" s="497"/>
      <c r="I21" s="73"/>
      <c r="J21" s="492"/>
      <c r="K21" s="493" t="str">
        <f>IFERROR(VLOOKUP($R21,FeeLookup!$J$5:$L$33,2,FALSE),"")</f>
        <v/>
      </c>
      <c r="L21" s="493" t="str">
        <f>IFERROR(VLOOKUP($R21,FeeLookup!$J$5:$L$33,3,FALSE),"")</f>
        <v/>
      </c>
      <c r="M21" s="413" t="s">
        <v>65</v>
      </c>
      <c r="N21" s="414">
        <v>3</v>
      </c>
      <c r="O21" s="4"/>
      <c r="P21" s="12" t="str">
        <f t="shared" si="3"/>
        <v>TEF</v>
      </c>
      <c r="Q21" s="12" t="str">
        <f t="shared" si="4"/>
        <v/>
      </c>
      <c r="R21" s="13" t="str">
        <f t="shared" si="5"/>
        <v>_TEF_</v>
      </c>
      <c r="S21" s="13" t="str">
        <f t="shared" si="6"/>
        <v/>
      </c>
      <c r="T21" s="12" t="str">
        <f t="shared" si="7"/>
        <v/>
      </c>
      <c r="U21" s="12" t="str">
        <f t="shared" si="8"/>
        <v/>
      </c>
      <c r="V21" s="12" t="str">
        <f t="shared" si="0"/>
        <v>NO</v>
      </c>
      <c r="W21" s="14" t="str">
        <f t="shared" si="9"/>
        <v/>
      </c>
      <c r="X21" s="14" t="str">
        <f t="shared" si="1"/>
        <v/>
      </c>
      <c r="Y21" s="14" t="str">
        <f t="shared" si="10"/>
        <v/>
      </c>
      <c r="Z21" s="15" t="str">
        <f t="shared" si="11"/>
        <v/>
      </c>
      <c r="AA21" s="342">
        <f t="shared" si="12"/>
        <v>0</v>
      </c>
      <c r="AB21" s="342">
        <f t="shared" si="2"/>
        <v>0</v>
      </c>
      <c r="AC21" s="342">
        <f t="shared" si="2"/>
        <v>0</v>
      </c>
      <c r="AD21" s="342">
        <f t="shared" si="2"/>
        <v>0</v>
      </c>
    </row>
    <row r="22" spans="1:30" ht="12.75" customHeight="1" x14ac:dyDescent="0.2">
      <c r="A22" s="71">
        <v>4</v>
      </c>
      <c r="B22" s="17"/>
      <c r="C22" s="17"/>
      <c r="D22" s="17"/>
      <c r="E22" s="497"/>
      <c r="F22" s="497"/>
      <c r="G22" s="497"/>
      <c r="H22" s="497"/>
      <c r="I22" s="73"/>
      <c r="J22" s="492"/>
      <c r="K22" s="493" t="str">
        <f>IFERROR(VLOOKUP($R22,FeeLookup!$J$5:$L$33,2,FALSE),"")</f>
        <v/>
      </c>
      <c r="L22" s="493" t="str">
        <f>IFERROR(VLOOKUP($R22,FeeLookup!$J$5:$L$33,3,FALSE),"")</f>
        <v/>
      </c>
      <c r="M22" s="413" t="s">
        <v>65</v>
      </c>
      <c r="N22" s="414">
        <v>4</v>
      </c>
      <c r="O22" s="4"/>
      <c r="P22" s="12" t="str">
        <f t="shared" si="3"/>
        <v>TEF</v>
      </c>
      <c r="Q22" s="12" t="str">
        <f t="shared" si="4"/>
        <v/>
      </c>
      <c r="R22" s="13" t="str">
        <f t="shared" si="5"/>
        <v>_TEF_</v>
      </c>
      <c r="S22" s="13" t="str">
        <f t="shared" si="6"/>
        <v/>
      </c>
      <c r="T22" s="12" t="str">
        <f t="shared" si="7"/>
        <v/>
      </c>
      <c r="U22" s="12" t="str">
        <f t="shared" si="8"/>
        <v/>
      </c>
      <c r="V22" s="12" t="str">
        <f t="shared" si="0"/>
        <v>NO</v>
      </c>
      <c r="W22" s="14" t="str">
        <f t="shared" si="9"/>
        <v/>
      </c>
      <c r="X22" s="14" t="str">
        <f t="shared" si="1"/>
        <v/>
      </c>
      <c r="Y22" s="14" t="str">
        <f t="shared" si="10"/>
        <v/>
      </c>
      <c r="Z22" s="15" t="str">
        <f t="shared" si="11"/>
        <v/>
      </c>
      <c r="AA22" s="342">
        <f t="shared" si="12"/>
        <v>0</v>
      </c>
      <c r="AB22" s="342">
        <f t="shared" si="2"/>
        <v>0</v>
      </c>
      <c r="AC22" s="342">
        <f t="shared" si="2"/>
        <v>0</v>
      </c>
      <c r="AD22" s="342">
        <f t="shared" si="2"/>
        <v>0</v>
      </c>
    </row>
    <row r="23" spans="1:30" ht="12.75" customHeight="1" x14ac:dyDescent="0.2">
      <c r="A23" s="71">
        <v>5</v>
      </c>
      <c r="B23" s="17"/>
      <c r="C23" s="17"/>
      <c r="D23" s="17"/>
      <c r="E23" s="497"/>
      <c r="F23" s="497"/>
      <c r="G23" s="497"/>
      <c r="H23" s="497"/>
      <c r="I23" s="73"/>
      <c r="J23" s="492"/>
      <c r="K23" s="493" t="str">
        <f>IFERROR(VLOOKUP($R23,FeeLookup!$J$5:$L$33,2,FALSE),"")</f>
        <v/>
      </c>
      <c r="L23" s="493" t="str">
        <f>IFERROR(VLOOKUP($R23,FeeLookup!$J$5:$L$33,3,FALSE),"")</f>
        <v/>
      </c>
      <c r="M23" s="413" t="s">
        <v>65</v>
      </c>
      <c r="N23" s="414">
        <v>5</v>
      </c>
      <c r="O23" s="4"/>
      <c r="P23" s="12" t="str">
        <f t="shared" si="3"/>
        <v>TEF</v>
      </c>
      <c r="Q23" s="12" t="str">
        <f t="shared" si="4"/>
        <v/>
      </c>
      <c r="R23" s="13" t="str">
        <f t="shared" si="5"/>
        <v>_TEF_</v>
      </c>
      <c r="S23" s="13" t="str">
        <f t="shared" si="6"/>
        <v/>
      </c>
      <c r="T23" s="12" t="str">
        <f t="shared" si="7"/>
        <v/>
      </c>
      <c r="U23" s="12" t="str">
        <f t="shared" si="8"/>
        <v/>
      </c>
      <c r="V23" s="12" t="str">
        <f t="shared" si="0"/>
        <v>NO</v>
      </c>
      <c r="W23" s="14" t="str">
        <f t="shared" si="9"/>
        <v/>
      </c>
      <c r="X23" s="14" t="str">
        <f t="shared" si="1"/>
        <v/>
      </c>
      <c r="Y23" s="14" t="str">
        <f t="shared" si="10"/>
        <v/>
      </c>
      <c r="Z23" s="15" t="str">
        <f t="shared" si="11"/>
        <v/>
      </c>
      <c r="AA23" s="342">
        <f t="shared" si="12"/>
        <v>0</v>
      </c>
      <c r="AB23" s="342">
        <f t="shared" si="2"/>
        <v>0</v>
      </c>
      <c r="AC23" s="342">
        <f t="shared" si="2"/>
        <v>0</v>
      </c>
      <c r="AD23" s="342">
        <f t="shared" si="2"/>
        <v>0</v>
      </c>
    </row>
    <row r="24" spans="1:30" ht="12.75" customHeight="1" x14ac:dyDescent="0.2">
      <c r="A24" s="71">
        <v>6</v>
      </c>
      <c r="B24" s="17"/>
      <c r="C24" s="17"/>
      <c r="D24" s="17"/>
      <c r="E24" s="497"/>
      <c r="F24" s="497"/>
      <c r="G24" s="497"/>
      <c r="H24" s="497"/>
      <c r="I24" s="73"/>
      <c r="J24" s="492"/>
      <c r="K24" s="493" t="str">
        <f>IFERROR(VLOOKUP($R24,FeeLookup!$J$5:$L$33,2,FALSE),"")</f>
        <v/>
      </c>
      <c r="L24" s="493" t="str">
        <f>IFERROR(VLOOKUP($R24,FeeLookup!$J$5:$L$33,3,FALSE),"")</f>
        <v/>
      </c>
      <c r="M24" s="413" t="s">
        <v>65</v>
      </c>
      <c r="N24" s="414">
        <v>6</v>
      </c>
      <c r="O24" s="4"/>
      <c r="P24" s="12" t="str">
        <f t="shared" si="3"/>
        <v>TEF</v>
      </c>
      <c r="Q24" s="12" t="str">
        <f t="shared" si="4"/>
        <v/>
      </c>
      <c r="R24" s="13" t="str">
        <f t="shared" si="5"/>
        <v>_TEF_</v>
      </c>
      <c r="S24" s="13" t="str">
        <f t="shared" si="6"/>
        <v/>
      </c>
      <c r="T24" s="12" t="str">
        <f t="shared" si="7"/>
        <v/>
      </c>
      <c r="U24" s="12" t="str">
        <f t="shared" si="8"/>
        <v/>
      </c>
      <c r="V24" s="12" t="str">
        <f t="shared" si="0"/>
        <v>NO</v>
      </c>
      <c r="W24" s="14" t="str">
        <f t="shared" si="9"/>
        <v/>
      </c>
      <c r="X24" s="14" t="str">
        <f t="shared" si="1"/>
        <v/>
      </c>
      <c r="Y24" s="14" t="str">
        <f t="shared" si="10"/>
        <v/>
      </c>
      <c r="Z24" s="15" t="str">
        <f t="shared" si="11"/>
        <v/>
      </c>
      <c r="AA24" s="342">
        <f t="shared" si="12"/>
        <v>0</v>
      </c>
      <c r="AB24" s="342">
        <f t="shared" si="2"/>
        <v>0</v>
      </c>
      <c r="AC24" s="342">
        <f t="shared" si="2"/>
        <v>0</v>
      </c>
      <c r="AD24" s="342">
        <f t="shared" si="2"/>
        <v>0</v>
      </c>
    </row>
    <row r="25" spans="1:30" ht="12.75" customHeight="1" x14ac:dyDescent="0.2">
      <c r="A25" s="71">
        <v>7</v>
      </c>
      <c r="B25" s="17"/>
      <c r="C25" s="17"/>
      <c r="D25" s="17"/>
      <c r="E25" s="497"/>
      <c r="F25" s="497"/>
      <c r="G25" s="497"/>
      <c r="H25" s="497"/>
      <c r="I25" s="73"/>
      <c r="J25" s="492"/>
      <c r="K25" s="493" t="str">
        <f>IFERROR(VLOOKUP($R25,FeeLookup!$J$5:$L$33,2,FALSE),"")</f>
        <v/>
      </c>
      <c r="L25" s="493" t="str">
        <f>IFERROR(VLOOKUP($R25,FeeLookup!$J$5:$L$33,3,FALSE),"")</f>
        <v/>
      </c>
      <c r="M25" s="413" t="s">
        <v>65</v>
      </c>
      <c r="N25" s="414">
        <v>7</v>
      </c>
      <c r="O25" s="4"/>
      <c r="P25" s="12" t="str">
        <f t="shared" si="3"/>
        <v>TEF</v>
      </c>
      <c r="Q25" s="12" t="str">
        <f t="shared" si="4"/>
        <v/>
      </c>
      <c r="R25" s="13" t="str">
        <f t="shared" si="5"/>
        <v>_TEF_</v>
      </c>
      <c r="S25" s="13" t="str">
        <f t="shared" si="6"/>
        <v/>
      </c>
      <c r="T25" s="12" t="str">
        <f t="shared" si="7"/>
        <v/>
      </c>
      <c r="U25" s="12" t="str">
        <f t="shared" si="8"/>
        <v/>
      </c>
      <c r="V25" s="12" t="str">
        <f t="shared" si="0"/>
        <v>NO</v>
      </c>
      <c r="W25" s="14" t="str">
        <f t="shared" si="9"/>
        <v/>
      </c>
      <c r="X25" s="14" t="str">
        <f t="shared" si="1"/>
        <v/>
      </c>
      <c r="Y25" s="14" t="str">
        <f t="shared" si="10"/>
        <v/>
      </c>
      <c r="Z25" s="15" t="str">
        <f t="shared" si="11"/>
        <v/>
      </c>
      <c r="AA25" s="342">
        <f t="shared" si="12"/>
        <v>0</v>
      </c>
      <c r="AB25" s="342">
        <f t="shared" si="2"/>
        <v>0</v>
      </c>
      <c r="AC25" s="342">
        <f t="shared" si="2"/>
        <v>0</v>
      </c>
      <c r="AD25" s="342">
        <f t="shared" si="2"/>
        <v>0</v>
      </c>
    </row>
    <row r="26" spans="1:30" ht="12.75" customHeight="1" x14ac:dyDescent="0.2">
      <c r="A26" s="71">
        <v>8</v>
      </c>
      <c r="B26" s="17"/>
      <c r="C26" s="17"/>
      <c r="D26" s="17"/>
      <c r="E26" s="497"/>
      <c r="F26" s="497"/>
      <c r="G26" s="497"/>
      <c r="H26" s="497"/>
      <c r="I26" s="73"/>
      <c r="J26" s="492"/>
      <c r="K26" s="493" t="str">
        <f>IFERROR(VLOOKUP($R26,FeeLookup!$J$5:$L$33,2,FALSE),"")</f>
        <v/>
      </c>
      <c r="L26" s="493" t="str">
        <f>IFERROR(VLOOKUP($R26,FeeLookup!$J$5:$L$33,3,FALSE),"")</f>
        <v/>
      </c>
      <c r="M26" s="413" t="s">
        <v>65</v>
      </c>
      <c r="N26" s="414">
        <v>8</v>
      </c>
      <c r="O26" s="4"/>
      <c r="P26" s="12" t="str">
        <f t="shared" si="3"/>
        <v>TEF</v>
      </c>
      <c r="Q26" s="12" t="str">
        <f t="shared" si="4"/>
        <v/>
      </c>
      <c r="R26" s="13" t="str">
        <f t="shared" si="5"/>
        <v>_TEF_</v>
      </c>
      <c r="S26" s="13" t="str">
        <f t="shared" si="6"/>
        <v/>
      </c>
      <c r="T26" s="12" t="str">
        <f t="shared" si="7"/>
        <v/>
      </c>
      <c r="U26" s="12" t="str">
        <f t="shared" si="8"/>
        <v/>
      </c>
      <c r="V26" s="12" t="str">
        <f t="shared" si="0"/>
        <v>NO</v>
      </c>
      <c r="W26" s="14" t="str">
        <f t="shared" si="9"/>
        <v/>
      </c>
      <c r="X26" s="14" t="str">
        <f t="shared" si="1"/>
        <v/>
      </c>
      <c r="Y26" s="14" t="str">
        <f t="shared" si="10"/>
        <v/>
      </c>
      <c r="Z26" s="15" t="str">
        <f t="shared" si="11"/>
        <v/>
      </c>
      <c r="AA26" s="342">
        <f t="shared" si="12"/>
        <v>0</v>
      </c>
      <c r="AB26" s="342">
        <f t="shared" si="2"/>
        <v>0</v>
      </c>
      <c r="AC26" s="342">
        <f t="shared" si="2"/>
        <v>0</v>
      </c>
      <c r="AD26" s="342">
        <f t="shared" si="2"/>
        <v>0</v>
      </c>
    </row>
    <row r="27" spans="1:30" ht="12.75" customHeight="1" x14ac:dyDescent="0.2">
      <c r="A27" s="71">
        <v>9</v>
      </c>
      <c r="B27" s="17"/>
      <c r="C27" s="17"/>
      <c r="D27" s="17"/>
      <c r="E27" s="497"/>
      <c r="F27" s="497"/>
      <c r="G27" s="497"/>
      <c r="H27" s="497"/>
      <c r="I27" s="73"/>
      <c r="J27" s="492"/>
      <c r="K27" s="493" t="str">
        <f>IFERROR(VLOOKUP($R27,FeeLookup!$J$5:$L$33,2,FALSE),"")</f>
        <v/>
      </c>
      <c r="L27" s="493" t="str">
        <f>IFERROR(VLOOKUP($R27,FeeLookup!$J$5:$L$33,3,FALSE),"")</f>
        <v/>
      </c>
      <c r="M27" s="413" t="s">
        <v>65</v>
      </c>
      <c r="N27" s="414">
        <v>9</v>
      </c>
      <c r="O27" s="4"/>
      <c r="P27" s="12" t="str">
        <f t="shared" si="3"/>
        <v>TEF</v>
      </c>
      <c r="Q27" s="12" t="str">
        <f t="shared" si="4"/>
        <v/>
      </c>
      <c r="R27" s="13" t="str">
        <f t="shared" si="5"/>
        <v>_TEF_</v>
      </c>
      <c r="S27" s="13" t="str">
        <f t="shared" si="6"/>
        <v/>
      </c>
      <c r="T27" s="12" t="str">
        <f t="shared" si="7"/>
        <v/>
      </c>
      <c r="U27" s="12" t="str">
        <f t="shared" si="8"/>
        <v/>
      </c>
      <c r="V27" s="12" t="str">
        <f t="shared" si="0"/>
        <v>NO</v>
      </c>
      <c r="W27" s="14" t="str">
        <f t="shared" si="9"/>
        <v/>
      </c>
      <c r="X27" s="14" t="str">
        <f t="shared" si="1"/>
        <v/>
      </c>
      <c r="Y27" s="14" t="str">
        <f t="shared" si="10"/>
        <v/>
      </c>
      <c r="Z27" s="15" t="str">
        <f t="shared" si="11"/>
        <v/>
      </c>
      <c r="AA27" s="342">
        <f t="shared" si="12"/>
        <v>0</v>
      </c>
      <c r="AB27" s="342">
        <f t="shared" si="2"/>
        <v>0</v>
      </c>
      <c r="AC27" s="342">
        <f t="shared" si="2"/>
        <v>0</v>
      </c>
      <c r="AD27" s="342">
        <f t="shared" si="2"/>
        <v>0</v>
      </c>
    </row>
    <row r="28" spans="1:30" ht="12.75" customHeight="1" x14ac:dyDescent="0.2">
      <c r="A28" s="71">
        <v>10</v>
      </c>
      <c r="B28" s="17"/>
      <c r="C28" s="17"/>
      <c r="D28" s="17"/>
      <c r="E28" s="497"/>
      <c r="F28" s="497"/>
      <c r="G28" s="497"/>
      <c r="H28" s="497"/>
      <c r="I28" s="73"/>
      <c r="J28" s="492"/>
      <c r="K28" s="493" t="str">
        <f>IFERROR(VLOOKUP($R28,FeeLookup!$J$5:$L$33,2,FALSE),"")</f>
        <v/>
      </c>
      <c r="L28" s="493" t="str">
        <f>IFERROR(VLOOKUP($R28,FeeLookup!$J$5:$L$33,3,FALSE),"")</f>
        <v/>
      </c>
      <c r="M28" s="413" t="s">
        <v>65</v>
      </c>
      <c r="N28" s="414">
        <v>10</v>
      </c>
      <c r="O28" s="4"/>
      <c r="P28" s="12" t="str">
        <f t="shared" si="3"/>
        <v>TEF</v>
      </c>
      <c r="Q28" s="12" t="str">
        <f t="shared" si="4"/>
        <v/>
      </c>
      <c r="R28" s="13" t="str">
        <f t="shared" si="5"/>
        <v>_TEF_</v>
      </c>
      <c r="S28" s="13" t="str">
        <f t="shared" si="6"/>
        <v/>
      </c>
      <c r="T28" s="12" t="str">
        <f t="shared" si="7"/>
        <v/>
      </c>
      <c r="U28" s="12" t="str">
        <f t="shared" si="8"/>
        <v/>
      </c>
      <c r="V28" s="12" t="str">
        <f t="shared" si="0"/>
        <v>NO</v>
      </c>
      <c r="W28" s="14" t="str">
        <f t="shared" si="9"/>
        <v/>
      </c>
      <c r="X28" s="14" t="str">
        <f t="shared" si="1"/>
        <v/>
      </c>
      <c r="Y28" s="14" t="str">
        <f t="shared" si="10"/>
        <v/>
      </c>
      <c r="Z28" s="15" t="str">
        <f t="shared" si="11"/>
        <v/>
      </c>
      <c r="AA28" s="342">
        <f t="shared" si="12"/>
        <v>0</v>
      </c>
      <c r="AB28" s="342">
        <f t="shared" si="2"/>
        <v>0</v>
      </c>
      <c r="AC28" s="342">
        <f t="shared" si="2"/>
        <v>0</v>
      </c>
      <c r="AD28" s="342">
        <f t="shared" si="2"/>
        <v>0</v>
      </c>
    </row>
    <row r="29" spans="1:30" ht="12.75" customHeight="1" x14ac:dyDescent="0.2">
      <c r="A29" s="71">
        <v>11</v>
      </c>
      <c r="B29" s="17"/>
      <c r="C29" s="17"/>
      <c r="D29" s="17"/>
      <c r="E29" s="497"/>
      <c r="F29" s="497"/>
      <c r="G29" s="497"/>
      <c r="H29" s="497"/>
      <c r="I29" s="73"/>
      <c r="J29" s="492"/>
      <c r="K29" s="493" t="str">
        <f>IFERROR(VLOOKUP($R29,FeeLookup!$J$5:$L$33,2,FALSE),"")</f>
        <v/>
      </c>
      <c r="L29" s="493" t="str">
        <f>IFERROR(VLOOKUP($R29,FeeLookup!$J$5:$L$33,3,FALSE),"")</f>
        <v/>
      </c>
      <c r="M29" s="413" t="s">
        <v>65</v>
      </c>
      <c r="N29" s="414">
        <v>11</v>
      </c>
      <c r="O29" s="4"/>
      <c r="P29" s="12" t="str">
        <f t="shared" si="3"/>
        <v>TEF</v>
      </c>
      <c r="Q29" s="12" t="str">
        <f t="shared" si="4"/>
        <v/>
      </c>
      <c r="R29" s="13" t="str">
        <f t="shared" si="5"/>
        <v>_TEF_</v>
      </c>
      <c r="S29" s="13" t="str">
        <f t="shared" si="6"/>
        <v/>
      </c>
      <c r="T29" s="12" t="str">
        <f t="shared" si="7"/>
        <v/>
      </c>
      <c r="U29" s="12" t="str">
        <f t="shared" si="8"/>
        <v/>
      </c>
      <c r="V29" s="12" t="str">
        <f t="shared" si="0"/>
        <v>NO</v>
      </c>
      <c r="W29" s="14" t="str">
        <f t="shared" si="9"/>
        <v/>
      </c>
      <c r="X29" s="14" t="str">
        <f t="shared" si="1"/>
        <v/>
      </c>
      <c r="Y29" s="14" t="str">
        <f t="shared" si="10"/>
        <v/>
      </c>
      <c r="Z29" s="15" t="str">
        <f t="shared" si="11"/>
        <v/>
      </c>
      <c r="AA29" s="342">
        <f t="shared" si="12"/>
        <v>0</v>
      </c>
      <c r="AB29" s="342">
        <f t="shared" si="2"/>
        <v>0</v>
      </c>
      <c r="AC29" s="342">
        <f t="shared" si="2"/>
        <v>0</v>
      </c>
      <c r="AD29" s="342">
        <f t="shared" si="2"/>
        <v>0</v>
      </c>
    </row>
    <row r="30" spans="1:30" ht="12.75" customHeight="1" x14ac:dyDescent="0.2">
      <c r="A30" s="71">
        <v>12</v>
      </c>
      <c r="B30" s="17"/>
      <c r="C30" s="17"/>
      <c r="D30" s="17"/>
      <c r="E30" s="497"/>
      <c r="F30" s="497"/>
      <c r="G30" s="497"/>
      <c r="H30" s="497"/>
      <c r="I30" s="73"/>
      <c r="J30" s="492"/>
      <c r="K30" s="493" t="str">
        <f>IFERROR(VLOOKUP($R30,FeeLookup!$J$5:$L$33,2,FALSE),"")</f>
        <v/>
      </c>
      <c r="L30" s="493" t="str">
        <f>IFERROR(VLOOKUP($R30,FeeLookup!$J$5:$L$33,3,FALSE),"")</f>
        <v/>
      </c>
      <c r="M30" s="413" t="s">
        <v>65</v>
      </c>
      <c r="N30" s="414">
        <v>12</v>
      </c>
      <c r="O30" s="4"/>
      <c r="P30" s="12" t="str">
        <f t="shared" si="3"/>
        <v>TEF</v>
      </c>
      <c r="Q30" s="12" t="str">
        <f t="shared" si="4"/>
        <v/>
      </c>
      <c r="R30" s="13" t="str">
        <f t="shared" si="5"/>
        <v>_TEF_</v>
      </c>
      <c r="S30" s="13" t="str">
        <f t="shared" si="6"/>
        <v/>
      </c>
      <c r="T30" s="12" t="str">
        <f t="shared" si="7"/>
        <v/>
      </c>
      <c r="U30" s="12" t="str">
        <f t="shared" si="8"/>
        <v/>
      </c>
      <c r="V30" s="12" t="str">
        <f t="shared" si="0"/>
        <v>NO</v>
      </c>
      <c r="W30" s="14" t="str">
        <f t="shared" si="9"/>
        <v/>
      </c>
      <c r="X30" s="14" t="str">
        <f t="shared" si="1"/>
        <v/>
      </c>
      <c r="Y30" s="14" t="str">
        <f t="shared" si="10"/>
        <v/>
      </c>
      <c r="Z30" s="15" t="str">
        <f t="shared" si="11"/>
        <v/>
      </c>
      <c r="AA30" s="342">
        <f t="shared" si="12"/>
        <v>0</v>
      </c>
      <c r="AB30" s="342">
        <f t="shared" si="2"/>
        <v>0</v>
      </c>
      <c r="AC30" s="342">
        <f t="shared" si="2"/>
        <v>0</v>
      </c>
      <c r="AD30" s="342">
        <f t="shared" si="2"/>
        <v>0</v>
      </c>
    </row>
    <row r="31" spans="1:30" ht="12.75" customHeight="1" x14ac:dyDescent="0.2">
      <c r="A31" s="71">
        <v>13</v>
      </c>
      <c r="B31" s="17"/>
      <c r="C31" s="17"/>
      <c r="D31" s="17"/>
      <c r="E31" s="497"/>
      <c r="F31" s="497"/>
      <c r="G31" s="497"/>
      <c r="H31" s="497"/>
      <c r="I31" s="73"/>
      <c r="J31" s="492"/>
      <c r="K31" s="493" t="str">
        <f>IFERROR(VLOOKUP($R31,FeeLookup!$J$5:$L$33,2,FALSE),"")</f>
        <v/>
      </c>
      <c r="L31" s="493" t="str">
        <f>IFERROR(VLOOKUP($R31,FeeLookup!$J$5:$L$33,3,FALSE),"")</f>
        <v/>
      </c>
      <c r="M31" s="413" t="s">
        <v>65</v>
      </c>
      <c r="N31" s="414">
        <v>13</v>
      </c>
      <c r="O31" s="4"/>
      <c r="P31" s="12" t="str">
        <f t="shared" si="3"/>
        <v>TEF</v>
      </c>
      <c r="Q31" s="12" t="str">
        <f t="shared" si="4"/>
        <v/>
      </c>
      <c r="R31" s="13" t="str">
        <f t="shared" si="5"/>
        <v>_TEF_</v>
      </c>
      <c r="S31" s="13" t="str">
        <f t="shared" si="6"/>
        <v/>
      </c>
      <c r="T31" s="12" t="str">
        <f t="shared" si="7"/>
        <v/>
      </c>
      <c r="U31" s="12" t="str">
        <f t="shared" si="8"/>
        <v/>
      </c>
      <c r="V31" s="12" t="str">
        <f t="shared" si="0"/>
        <v>NO</v>
      </c>
      <c r="W31" s="14" t="str">
        <f t="shared" si="9"/>
        <v/>
      </c>
      <c r="X31" s="14" t="str">
        <f t="shared" si="1"/>
        <v/>
      </c>
      <c r="Y31" s="14" t="str">
        <f t="shared" si="10"/>
        <v/>
      </c>
      <c r="Z31" s="15" t="str">
        <f t="shared" si="11"/>
        <v/>
      </c>
      <c r="AA31" s="342">
        <f t="shared" si="12"/>
        <v>0</v>
      </c>
      <c r="AB31" s="342">
        <f t="shared" si="2"/>
        <v>0</v>
      </c>
      <c r="AC31" s="342">
        <f t="shared" si="2"/>
        <v>0</v>
      </c>
      <c r="AD31" s="342">
        <f t="shared" si="2"/>
        <v>0</v>
      </c>
    </row>
    <row r="32" spans="1:30" ht="12.75" customHeight="1" x14ac:dyDescent="0.2">
      <c r="A32" s="71">
        <v>14</v>
      </c>
      <c r="B32" s="17"/>
      <c r="C32" s="17"/>
      <c r="D32" s="17"/>
      <c r="E32" s="497"/>
      <c r="F32" s="497"/>
      <c r="G32" s="497"/>
      <c r="H32" s="497"/>
      <c r="I32" s="73"/>
      <c r="J32" s="492"/>
      <c r="K32" s="493" t="str">
        <f>IFERROR(VLOOKUP($R32,FeeLookup!$J$5:$L$33,2,FALSE),"")</f>
        <v/>
      </c>
      <c r="L32" s="493" t="str">
        <f>IFERROR(VLOOKUP($R32,FeeLookup!$J$5:$L$33,3,FALSE),"")</f>
        <v/>
      </c>
      <c r="M32" s="413" t="s">
        <v>65</v>
      </c>
      <c r="N32" s="414">
        <v>14</v>
      </c>
      <c r="O32" s="4"/>
      <c r="P32" s="12" t="str">
        <f t="shared" si="3"/>
        <v>TEF</v>
      </c>
      <c r="Q32" s="12" t="str">
        <f t="shared" si="4"/>
        <v/>
      </c>
      <c r="R32" s="13" t="str">
        <f t="shared" si="5"/>
        <v>_TEF_</v>
      </c>
      <c r="S32" s="13" t="str">
        <f t="shared" si="6"/>
        <v/>
      </c>
      <c r="T32" s="12" t="str">
        <f t="shared" si="7"/>
        <v/>
      </c>
      <c r="U32" s="12" t="str">
        <f t="shared" si="8"/>
        <v/>
      </c>
      <c r="V32" s="12" t="str">
        <f t="shared" si="0"/>
        <v>NO</v>
      </c>
      <c r="W32" s="14" t="str">
        <f t="shared" si="9"/>
        <v/>
      </c>
      <c r="X32" s="14" t="str">
        <f t="shared" si="1"/>
        <v/>
      </c>
      <c r="Y32" s="14" t="str">
        <f t="shared" si="10"/>
        <v/>
      </c>
      <c r="Z32" s="15" t="str">
        <f t="shared" si="11"/>
        <v/>
      </c>
      <c r="AA32" s="342">
        <f t="shared" si="12"/>
        <v>0</v>
      </c>
      <c r="AB32" s="342">
        <f t="shared" si="2"/>
        <v>0</v>
      </c>
      <c r="AC32" s="342">
        <f t="shared" si="2"/>
        <v>0</v>
      </c>
      <c r="AD32" s="342">
        <f t="shared" si="2"/>
        <v>0</v>
      </c>
    </row>
    <row r="33" spans="1:30" ht="12.75" customHeight="1" x14ac:dyDescent="0.2">
      <c r="A33" s="71">
        <v>15</v>
      </c>
      <c r="B33" s="17"/>
      <c r="C33" s="17"/>
      <c r="D33" s="17"/>
      <c r="E33" s="497"/>
      <c r="F33" s="497"/>
      <c r="G33" s="497"/>
      <c r="H33" s="497"/>
      <c r="I33" s="73"/>
      <c r="J33" s="492"/>
      <c r="K33" s="493" t="str">
        <f>IFERROR(VLOOKUP($R33,FeeLookup!$J$5:$L$33,2,FALSE),"")</f>
        <v/>
      </c>
      <c r="L33" s="493" t="str">
        <f>IFERROR(VLOOKUP($R33,FeeLookup!$J$5:$L$33,3,FALSE),"")</f>
        <v/>
      </c>
      <c r="M33" s="413" t="s">
        <v>65</v>
      </c>
      <c r="N33" s="414">
        <v>15</v>
      </c>
      <c r="O33" s="4"/>
      <c r="P33" s="12" t="str">
        <f t="shared" si="3"/>
        <v>TEF</v>
      </c>
      <c r="Q33" s="12" t="str">
        <f t="shared" si="4"/>
        <v/>
      </c>
      <c r="R33" s="13" t="str">
        <f t="shared" si="5"/>
        <v>_TEF_</v>
      </c>
      <c r="S33" s="13" t="str">
        <f t="shared" si="6"/>
        <v/>
      </c>
      <c r="T33" s="12" t="str">
        <f t="shared" si="7"/>
        <v/>
      </c>
      <c r="U33" s="12" t="str">
        <f t="shared" si="8"/>
        <v/>
      </c>
      <c r="V33" s="12" t="str">
        <f t="shared" si="0"/>
        <v>NO</v>
      </c>
      <c r="W33" s="14" t="str">
        <f t="shared" si="9"/>
        <v/>
      </c>
      <c r="X33" s="14" t="str">
        <f t="shared" si="1"/>
        <v/>
      </c>
      <c r="Y33" s="14" t="str">
        <f t="shared" si="10"/>
        <v/>
      </c>
      <c r="Z33" s="15" t="str">
        <f t="shared" si="11"/>
        <v/>
      </c>
      <c r="AA33" s="342">
        <f t="shared" si="12"/>
        <v>0</v>
      </c>
      <c r="AB33" s="342">
        <f t="shared" si="2"/>
        <v>0</v>
      </c>
      <c r="AC33" s="342">
        <f t="shared" si="2"/>
        <v>0</v>
      </c>
      <c r="AD33" s="342">
        <f t="shared" si="2"/>
        <v>0</v>
      </c>
    </row>
    <row r="34" spans="1:30" ht="12.75" customHeight="1" x14ac:dyDescent="0.2">
      <c r="A34" s="71">
        <v>16</v>
      </c>
      <c r="B34" s="17"/>
      <c r="C34" s="17"/>
      <c r="D34" s="17"/>
      <c r="E34" s="497"/>
      <c r="F34" s="497"/>
      <c r="G34" s="497"/>
      <c r="H34" s="497"/>
      <c r="I34" s="73"/>
      <c r="J34" s="492"/>
      <c r="K34" s="493" t="str">
        <f>IFERROR(VLOOKUP($R34,FeeLookup!$J$5:$L$33,2,FALSE),"")</f>
        <v/>
      </c>
      <c r="L34" s="493" t="str">
        <f>IFERROR(VLOOKUP($R34,FeeLookup!$J$5:$L$33,3,FALSE),"")</f>
        <v/>
      </c>
      <c r="M34" s="413" t="s">
        <v>65</v>
      </c>
      <c r="N34" s="414">
        <v>16</v>
      </c>
      <c r="O34" s="4"/>
      <c r="P34" s="12" t="str">
        <f t="shared" si="3"/>
        <v>TEF</v>
      </c>
      <c r="Q34" s="12" t="str">
        <f t="shared" si="4"/>
        <v/>
      </c>
      <c r="R34" s="13" t="str">
        <f t="shared" si="5"/>
        <v>_TEF_</v>
      </c>
      <c r="S34" s="13" t="str">
        <f t="shared" si="6"/>
        <v/>
      </c>
      <c r="T34" s="12" t="str">
        <f t="shared" si="7"/>
        <v/>
      </c>
      <c r="U34" s="12" t="str">
        <f t="shared" si="8"/>
        <v/>
      </c>
      <c r="V34" s="12" t="str">
        <f t="shared" si="0"/>
        <v>NO</v>
      </c>
      <c r="W34" s="14" t="str">
        <f t="shared" si="9"/>
        <v/>
      </c>
      <c r="X34" s="14" t="str">
        <f t="shared" si="1"/>
        <v/>
      </c>
      <c r="Y34" s="14" t="str">
        <f t="shared" si="10"/>
        <v/>
      </c>
      <c r="Z34" s="15" t="str">
        <f t="shared" si="11"/>
        <v/>
      </c>
      <c r="AA34" s="342">
        <f t="shared" si="12"/>
        <v>0</v>
      </c>
      <c r="AB34" s="342">
        <f t="shared" si="2"/>
        <v>0</v>
      </c>
      <c r="AC34" s="342">
        <f t="shared" si="2"/>
        <v>0</v>
      </c>
      <c r="AD34" s="342">
        <f t="shared" si="2"/>
        <v>0</v>
      </c>
    </row>
    <row r="35" spans="1:30" ht="12.75" customHeight="1" x14ac:dyDescent="0.2">
      <c r="A35" s="71">
        <v>17</v>
      </c>
      <c r="B35" s="17"/>
      <c r="C35" s="17"/>
      <c r="D35" s="17"/>
      <c r="E35" s="497"/>
      <c r="F35" s="497"/>
      <c r="G35" s="497"/>
      <c r="H35" s="497"/>
      <c r="I35" s="73"/>
      <c r="J35" s="492"/>
      <c r="K35" s="493" t="str">
        <f>IFERROR(VLOOKUP($R35,FeeLookup!$J$5:$L$33,2,FALSE),"")</f>
        <v/>
      </c>
      <c r="L35" s="493" t="str">
        <f>IFERROR(VLOOKUP($R35,FeeLookup!$J$5:$L$33,3,FALSE),"")</f>
        <v/>
      </c>
      <c r="M35" s="413" t="s">
        <v>65</v>
      </c>
      <c r="N35" s="414">
        <v>17</v>
      </c>
      <c r="O35" s="4"/>
      <c r="P35" s="12" t="str">
        <f t="shared" si="3"/>
        <v>TEF</v>
      </c>
      <c r="Q35" s="12" t="str">
        <f t="shared" si="4"/>
        <v/>
      </c>
      <c r="R35" s="13" t="str">
        <f t="shared" si="5"/>
        <v>_TEF_</v>
      </c>
      <c r="S35" s="13" t="str">
        <f t="shared" si="6"/>
        <v/>
      </c>
      <c r="T35" s="12" t="str">
        <f t="shared" si="7"/>
        <v/>
      </c>
      <c r="U35" s="12" t="str">
        <f t="shared" si="8"/>
        <v/>
      </c>
      <c r="V35" s="12" t="str">
        <f t="shared" si="0"/>
        <v>NO</v>
      </c>
      <c r="W35" s="14" t="str">
        <f t="shared" si="9"/>
        <v/>
      </c>
      <c r="X35" s="14" t="str">
        <f t="shared" si="1"/>
        <v/>
      </c>
      <c r="Y35" s="14" t="str">
        <f t="shared" si="10"/>
        <v/>
      </c>
      <c r="Z35" s="15" t="str">
        <f t="shared" si="11"/>
        <v/>
      </c>
      <c r="AA35" s="342">
        <f t="shared" si="12"/>
        <v>0</v>
      </c>
      <c r="AB35" s="342">
        <f t="shared" si="12"/>
        <v>0</v>
      </c>
      <c r="AC35" s="342">
        <f t="shared" ref="AC35:AC98" si="13">IF(IF(ISERROR($J35-$K35)=TRUE,0,$J35-$K35)&gt;0,G35,0)</f>
        <v>0</v>
      </c>
      <c r="AD35" s="342">
        <f t="shared" ref="AD35:AD98" si="14">IF(IF(ISERROR($J35-$K35)=TRUE,0,$J35-$K35)&gt;0,H35,0)</f>
        <v>0</v>
      </c>
    </row>
    <row r="36" spans="1:30" ht="12.75" customHeight="1" x14ac:dyDescent="0.2">
      <c r="A36" s="71">
        <v>18</v>
      </c>
      <c r="B36" s="17"/>
      <c r="C36" s="17"/>
      <c r="D36" s="17"/>
      <c r="E36" s="497"/>
      <c r="F36" s="497"/>
      <c r="G36" s="497"/>
      <c r="H36" s="497"/>
      <c r="I36" s="73"/>
      <c r="J36" s="492"/>
      <c r="K36" s="493" t="str">
        <f>IFERROR(VLOOKUP($R36,FeeLookup!$J$5:$L$33,2,FALSE),"")</f>
        <v/>
      </c>
      <c r="L36" s="493" t="str">
        <f>IFERROR(VLOOKUP($R36,FeeLookup!$J$5:$L$33,3,FALSE),"")</f>
        <v/>
      </c>
      <c r="M36" s="413" t="s">
        <v>65</v>
      </c>
      <c r="N36" s="414">
        <v>18</v>
      </c>
      <c r="O36" s="4"/>
      <c r="P36" s="12" t="str">
        <f t="shared" si="3"/>
        <v>TEF</v>
      </c>
      <c r="Q36" s="12" t="str">
        <f t="shared" si="4"/>
        <v/>
      </c>
      <c r="R36" s="13" t="str">
        <f t="shared" si="5"/>
        <v>_TEF_</v>
      </c>
      <c r="S36" s="13" t="str">
        <f t="shared" si="6"/>
        <v/>
      </c>
      <c r="T36" s="12" t="str">
        <f t="shared" si="7"/>
        <v/>
      </c>
      <c r="U36" s="12" t="str">
        <f t="shared" si="8"/>
        <v/>
      </c>
      <c r="V36" s="12" t="str">
        <f t="shared" si="0"/>
        <v>NO</v>
      </c>
      <c r="W36" s="14" t="str">
        <f t="shared" si="9"/>
        <v/>
      </c>
      <c r="X36" s="14" t="str">
        <f t="shared" si="1"/>
        <v/>
      </c>
      <c r="Y36" s="14" t="str">
        <f t="shared" si="10"/>
        <v/>
      </c>
      <c r="Z36" s="15" t="str">
        <f t="shared" si="11"/>
        <v/>
      </c>
      <c r="AA36" s="342">
        <f t="shared" si="12"/>
        <v>0</v>
      </c>
      <c r="AB36" s="342">
        <f t="shared" si="12"/>
        <v>0</v>
      </c>
      <c r="AC36" s="342">
        <f t="shared" si="13"/>
        <v>0</v>
      </c>
      <c r="AD36" s="342">
        <f t="shared" si="14"/>
        <v>0</v>
      </c>
    </row>
    <row r="37" spans="1:30" ht="12.75" customHeight="1" x14ac:dyDescent="0.2">
      <c r="A37" s="71">
        <v>19</v>
      </c>
      <c r="B37" s="17"/>
      <c r="C37" s="17"/>
      <c r="D37" s="17"/>
      <c r="E37" s="497"/>
      <c r="F37" s="497"/>
      <c r="G37" s="497"/>
      <c r="H37" s="497"/>
      <c r="I37" s="73"/>
      <c r="J37" s="492"/>
      <c r="K37" s="493" t="str">
        <f>IFERROR(VLOOKUP($R37,FeeLookup!$J$5:$L$33,2,FALSE),"")</f>
        <v/>
      </c>
      <c r="L37" s="493" t="str">
        <f>IFERROR(VLOOKUP($R37,FeeLookup!$J$5:$L$33,3,FALSE),"")</f>
        <v/>
      </c>
      <c r="M37" s="413" t="s">
        <v>65</v>
      </c>
      <c r="N37" s="414">
        <v>19</v>
      </c>
      <c r="O37" s="4"/>
      <c r="P37" s="12" t="str">
        <f t="shared" si="3"/>
        <v>TEF</v>
      </c>
      <c r="Q37" s="12" t="str">
        <f t="shared" si="4"/>
        <v/>
      </c>
      <c r="R37" s="13" t="str">
        <f t="shared" si="5"/>
        <v>_TEF_</v>
      </c>
      <c r="S37" s="13" t="str">
        <f t="shared" si="6"/>
        <v/>
      </c>
      <c r="T37" s="12" t="str">
        <f t="shared" si="7"/>
        <v/>
      </c>
      <c r="U37" s="12" t="str">
        <f t="shared" si="8"/>
        <v/>
      </c>
      <c r="V37" s="12" t="str">
        <f t="shared" si="0"/>
        <v>NO</v>
      </c>
      <c r="W37" s="14" t="str">
        <f t="shared" si="9"/>
        <v/>
      </c>
      <c r="X37" s="14" t="str">
        <f t="shared" si="1"/>
        <v/>
      </c>
      <c r="Y37" s="14" t="str">
        <f t="shared" si="10"/>
        <v/>
      </c>
      <c r="Z37" s="15" t="str">
        <f t="shared" si="11"/>
        <v/>
      </c>
      <c r="AA37" s="342">
        <f t="shared" si="12"/>
        <v>0</v>
      </c>
      <c r="AB37" s="342">
        <f t="shared" si="12"/>
        <v>0</v>
      </c>
      <c r="AC37" s="342">
        <f t="shared" si="13"/>
        <v>0</v>
      </c>
      <c r="AD37" s="342">
        <f t="shared" si="14"/>
        <v>0</v>
      </c>
    </row>
    <row r="38" spans="1:30" ht="12.75" customHeight="1" x14ac:dyDescent="0.2">
      <c r="A38" s="71">
        <v>20</v>
      </c>
      <c r="B38" s="17"/>
      <c r="C38" s="17"/>
      <c r="D38" s="17"/>
      <c r="E38" s="497"/>
      <c r="F38" s="497"/>
      <c r="G38" s="497"/>
      <c r="H38" s="497"/>
      <c r="I38" s="73"/>
      <c r="J38" s="492"/>
      <c r="K38" s="493" t="str">
        <f>IFERROR(VLOOKUP($R38,FeeLookup!$J$5:$L$33,2,FALSE),"")</f>
        <v/>
      </c>
      <c r="L38" s="493" t="str">
        <f>IFERROR(VLOOKUP($R38,FeeLookup!$J$5:$L$33,3,FALSE),"")</f>
        <v/>
      </c>
      <c r="M38" s="413" t="s">
        <v>65</v>
      </c>
      <c r="N38" s="414">
        <v>20</v>
      </c>
      <c r="O38" s="4"/>
      <c r="P38" s="12" t="str">
        <f t="shared" si="3"/>
        <v>TEF</v>
      </c>
      <c r="Q38" s="12" t="str">
        <f t="shared" si="4"/>
        <v/>
      </c>
      <c r="R38" s="13" t="str">
        <f t="shared" si="5"/>
        <v>_TEF_</v>
      </c>
      <c r="S38" s="13" t="str">
        <f t="shared" si="6"/>
        <v/>
      </c>
      <c r="T38" s="12" t="str">
        <f t="shared" si="7"/>
        <v/>
      </c>
      <c r="U38" s="12" t="str">
        <f t="shared" si="8"/>
        <v/>
      </c>
      <c r="V38" s="12" t="str">
        <f t="shared" si="0"/>
        <v>NO</v>
      </c>
      <c r="W38" s="14" t="str">
        <f t="shared" si="9"/>
        <v/>
      </c>
      <c r="X38" s="14" t="str">
        <f t="shared" si="1"/>
        <v/>
      </c>
      <c r="Y38" s="14" t="str">
        <f t="shared" si="10"/>
        <v/>
      </c>
      <c r="Z38" s="15" t="str">
        <f t="shared" si="11"/>
        <v/>
      </c>
      <c r="AA38" s="342">
        <f t="shared" si="12"/>
        <v>0</v>
      </c>
      <c r="AB38" s="342">
        <f t="shared" si="12"/>
        <v>0</v>
      </c>
      <c r="AC38" s="342">
        <f t="shared" si="13"/>
        <v>0</v>
      </c>
      <c r="AD38" s="342">
        <f t="shared" si="14"/>
        <v>0</v>
      </c>
    </row>
    <row r="39" spans="1:30" ht="12.75" customHeight="1" x14ac:dyDescent="0.2">
      <c r="A39" s="71">
        <v>21</v>
      </c>
      <c r="B39" s="17"/>
      <c r="C39" s="17"/>
      <c r="D39" s="17"/>
      <c r="E39" s="497"/>
      <c r="F39" s="497"/>
      <c r="G39" s="497"/>
      <c r="H39" s="497"/>
      <c r="I39" s="73"/>
      <c r="J39" s="492"/>
      <c r="K39" s="493" t="str">
        <f>IFERROR(VLOOKUP($R39,FeeLookup!$J$5:$L$33,2,FALSE),"")</f>
        <v/>
      </c>
      <c r="L39" s="493" t="str">
        <f>IFERROR(VLOOKUP($R39,FeeLookup!$J$5:$L$33,3,FALSE),"")</f>
        <v/>
      </c>
      <c r="M39" s="413" t="s">
        <v>65</v>
      </c>
      <c r="N39" s="414">
        <v>21</v>
      </c>
      <c r="O39" s="4"/>
      <c r="P39" s="12" t="str">
        <f t="shared" si="3"/>
        <v>TEF</v>
      </c>
      <c r="Q39" s="12" t="str">
        <f t="shared" si="4"/>
        <v/>
      </c>
      <c r="R39" s="13" t="str">
        <f t="shared" si="5"/>
        <v>_TEF_</v>
      </c>
      <c r="S39" s="13" t="str">
        <f t="shared" si="6"/>
        <v/>
      </c>
      <c r="T39" s="12" t="str">
        <f t="shared" si="7"/>
        <v/>
      </c>
      <c r="U39" s="12" t="str">
        <f t="shared" si="8"/>
        <v/>
      </c>
      <c r="V39" s="12" t="str">
        <f t="shared" si="0"/>
        <v>NO</v>
      </c>
      <c r="W39" s="14" t="str">
        <f t="shared" si="9"/>
        <v/>
      </c>
      <c r="X39" s="14" t="str">
        <f t="shared" si="1"/>
        <v/>
      </c>
      <c r="Y39" s="14" t="str">
        <f t="shared" si="10"/>
        <v/>
      </c>
      <c r="Z39" s="15" t="str">
        <f t="shared" si="11"/>
        <v/>
      </c>
      <c r="AA39" s="342">
        <f t="shared" si="12"/>
        <v>0</v>
      </c>
      <c r="AB39" s="342">
        <f t="shared" si="12"/>
        <v>0</v>
      </c>
      <c r="AC39" s="342">
        <f t="shared" si="13"/>
        <v>0</v>
      </c>
      <c r="AD39" s="342">
        <f t="shared" si="14"/>
        <v>0</v>
      </c>
    </row>
    <row r="40" spans="1:30" ht="12.75" customHeight="1" x14ac:dyDescent="0.2">
      <c r="A40" s="71">
        <v>22</v>
      </c>
      <c r="B40" s="17"/>
      <c r="C40" s="17"/>
      <c r="D40" s="17"/>
      <c r="E40" s="497"/>
      <c r="F40" s="497"/>
      <c r="G40" s="497"/>
      <c r="H40" s="497"/>
      <c r="I40" s="73"/>
      <c r="J40" s="492"/>
      <c r="K40" s="493" t="str">
        <f>IFERROR(VLOOKUP($R40,FeeLookup!$J$5:$L$33,2,FALSE),"")</f>
        <v/>
      </c>
      <c r="L40" s="493" t="str">
        <f>IFERROR(VLOOKUP($R40,FeeLookup!$J$5:$L$33,3,FALSE),"")</f>
        <v/>
      </c>
      <c r="M40" s="413" t="s">
        <v>65</v>
      </c>
      <c r="N40" s="414">
        <v>22</v>
      </c>
      <c r="O40" s="4"/>
      <c r="P40" s="12" t="str">
        <f t="shared" si="3"/>
        <v>TEF</v>
      </c>
      <c r="Q40" s="12" t="str">
        <f t="shared" si="4"/>
        <v/>
      </c>
      <c r="R40" s="13" t="str">
        <f t="shared" si="5"/>
        <v>_TEF_</v>
      </c>
      <c r="S40" s="13" t="str">
        <f t="shared" si="6"/>
        <v/>
      </c>
      <c r="T40" s="12" t="str">
        <f t="shared" si="7"/>
        <v/>
      </c>
      <c r="U40" s="12" t="str">
        <f t="shared" si="8"/>
        <v/>
      </c>
      <c r="V40" s="12" t="str">
        <f t="shared" si="0"/>
        <v>NO</v>
      </c>
      <c r="W40" s="14" t="str">
        <f t="shared" si="9"/>
        <v/>
      </c>
      <c r="X40" s="14" t="str">
        <f t="shared" si="1"/>
        <v/>
      </c>
      <c r="Y40" s="14" t="str">
        <f t="shared" si="10"/>
        <v/>
      </c>
      <c r="Z40" s="15" t="str">
        <f t="shared" si="11"/>
        <v/>
      </c>
      <c r="AA40" s="342">
        <f t="shared" si="12"/>
        <v>0</v>
      </c>
      <c r="AB40" s="342">
        <f t="shared" si="12"/>
        <v>0</v>
      </c>
      <c r="AC40" s="342">
        <f t="shared" si="13"/>
        <v>0</v>
      </c>
      <c r="AD40" s="342">
        <f t="shared" si="14"/>
        <v>0</v>
      </c>
    </row>
    <row r="41" spans="1:30" ht="12.75" customHeight="1" x14ac:dyDescent="0.2">
      <c r="A41" s="71">
        <v>23</v>
      </c>
      <c r="B41" s="17"/>
      <c r="C41" s="17"/>
      <c r="D41" s="17"/>
      <c r="E41" s="497"/>
      <c r="F41" s="497"/>
      <c r="G41" s="497"/>
      <c r="H41" s="497"/>
      <c r="I41" s="73"/>
      <c r="J41" s="492"/>
      <c r="K41" s="493" t="str">
        <f>IFERROR(VLOOKUP($R41,FeeLookup!$J$5:$L$33,2,FALSE),"")</f>
        <v/>
      </c>
      <c r="L41" s="493" t="str">
        <f>IFERROR(VLOOKUP($R41,FeeLookup!$J$5:$L$33,3,FALSE),"")</f>
        <v/>
      </c>
      <c r="M41" s="413" t="s">
        <v>65</v>
      </c>
      <c r="N41" s="414">
        <v>23</v>
      </c>
      <c r="O41" s="4"/>
      <c r="P41" s="12" t="str">
        <f t="shared" si="3"/>
        <v>TEF</v>
      </c>
      <c r="Q41" s="12" t="str">
        <f t="shared" si="4"/>
        <v/>
      </c>
      <c r="R41" s="13" t="str">
        <f t="shared" si="5"/>
        <v>_TEF_</v>
      </c>
      <c r="S41" s="13" t="str">
        <f t="shared" si="6"/>
        <v/>
      </c>
      <c r="T41" s="12" t="str">
        <f t="shared" si="7"/>
        <v/>
      </c>
      <c r="U41" s="12" t="str">
        <f t="shared" si="8"/>
        <v/>
      </c>
      <c r="V41" s="12" t="str">
        <f t="shared" si="0"/>
        <v>NO</v>
      </c>
      <c r="W41" s="14" t="str">
        <f t="shared" si="9"/>
        <v/>
      </c>
      <c r="X41" s="14" t="str">
        <f t="shared" si="1"/>
        <v/>
      </c>
      <c r="Y41" s="14" t="str">
        <f t="shared" si="10"/>
        <v/>
      </c>
      <c r="Z41" s="15" t="str">
        <f t="shared" si="11"/>
        <v/>
      </c>
      <c r="AA41" s="342">
        <f t="shared" si="12"/>
        <v>0</v>
      </c>
      <c r="AB41" s="342">
        <f t="shared" si="12"/>
        <v>0</v>
      </c>
      <c r="AC41" s="342">
        <f t="shared" si="13"/>
        <v>0</v>
      </c>
      <c r="AD41" s="342">
        <f t="shared" si="14"/>
        <v>0</v>
      </c>
    </row>
    <row r="42" spans="1:30" ht="12.75" customHeight="1" x14ac:dyDescent="0.2">
      <c r="A42" s="71">
        <v>24</v>
      </c>
      <c r="B42" s="17"/>
      <c r="C42" s="17"/>
      <c r="D42" s="17"/>
      <c r="E42" s="497"/>
      <c r="F42" s="497"/>
      <c r="G42" s="497"/>
      <c r="H42" s="497"/>
      <c r="I42" s="73"/>
      <c r="J42" s="492"/>
      <c r="K42" s="493" t="str">
        <f>IFERROR(VLOOKUP($R42,FeeLookup!$J$5:$L$33,2,FALSE),"")</f>
        <v/>
      </c>
      <c r="L42" s="493" t="str">
        <f>IFERROR(VLOOKUP($R42,FeeLookup!$J$5:$L$33,3,FALSE),"")</f>
        <v/>
      </c>
      <c r="M42" s="413" t="s">
        <v>65</v>
      </c>
      <c r="N42" s="414">
        <v>24</v>
      </c>
      <c r="O42" s="4"/>
      <c r="P42" s="12" t="str">
        <f t="shared" si="3"/>
        <v>TEF</v>
      </c>
      <c r="Q42" s="12" t="str">
        <f t="shared" si="4"/>
        <v/>
      </c>
      <c r="R42" s="13" t="str">
        <f t="shared" si="5"/>
        <v>_TEF_</v>
      </c>
      <c r="S42" s="13" t="str">
        <f t="shared" si="6"/>
        <v/>
      </c>
      <c r="T42" s="12" t="str">
        <f t="shared" si="7"/>
        <v/>
      </c>
      <c r="U42" s="12" t="str">
        <f t="shared" si="8"/>
        <v/>
      </c>
      <c r="V42" s="12" t="str">
        <f t="shared" si="0"/>
        <v>NO</v>
      </c>
      <c r="W42" s="14" t="str">
        <f t="shared" si="9"/>
        <v/>
      </c>
      <c r="X42" s="14" t="str">
        <f t="shared" si="1"/>
        <v/>
      </c>
      <c r="Y42" s="14" t="str">
        <f t="shared" si="10"/>
        <v/>
      </c>
      <c r="Z42" s="15" t="str">
        <f t="shared" si="11"/>
        <v/>
      </c>
      <c r="AA42" s="342">
        <f t="shared" si="12"/>
        <v>0</v>
      </c>
      <c r="AB42" s="342">
        <f t="shared" si="12"/>
        <v>0</v>
      </c>
      <c r="AC42" s="342">
        <f t="shared" si="13"/>
        <v>0</v>
      </c>
      <c r="AD42" s="342">
        <f t="shared" si="14"/>
        <v>0</v>
      </c>
    </row>
    <row r="43" spans="1:30" ht="12.75" customHeight="1" x14ac:dyDescent="0.2">
      <c r="A43" s="71">
        <v>25</v>
      </c>
      <c r="B43" s="17"/>
      <c r="C43" s="17"/>
      <c r="D43" s="17"/>
      <c r="E43" s="497"/>
      <c r="F43" s="497"/>
      <c r="G43" s="497"/>
      <c r="H43" s="497"/>
      <c r="I43" s="73"/>
      <c r="J43" s="492"/>
      <c r="K43" s="493" t="str">
        <f>IFERROR(VLOOKUP($R43,FeeLookup!$J$5:$L$33,2,FALSE),"")</f>
        <v/>
      </c>
      <c r="L43" s="493" t="str">
        <f>IFERROR(VLOOKUP($R43,FeeLookup!$J$5:$L$33,3,FALSE),"")</f>
        <v/>
      </c>
      <c r="M43" s="413" t="s">
        <v>65</v>
      </c>
      <c r="N43" s="414">
        <v>25</v>
      </c>
      <c r="O43" s="4"/>
      <c r="P43" s="12" t="str">
        <f t="shared" si="3"/>
        <v>TEF</v>
      </c>
      <c r="Q43" s="12" t="str">
        <f t="shared" si="4"/>
        <v/>
      </c>
      <c r="R43" s="13" t="str">
        <f t="shared" si="5"/>
        <v>_TEF_</v>
      </c>
      <c r="S43" s="13" t="str">
        <f t="shared" si="6"/>
        <v/>
      </c>
      <c r="T43" s="12" t="str">
        <f t="shared" si="7"/>
        <v/>
      </c>
      <c r="U43" s="12" t="str">
        <f t="shared" si="8"/>
        <v/>
      </c>
      <c r="V43" s="12" t="str">
        <f t="shared" si="0"/>
        <v>NO</v>
      </c>
      <c r="W43" s="14" t="str">
        <f t="shared" si="9"/>
        <v/>
      </c>
      <c r="X43" s="14" t="str">
        <f t="shared" si="1"/>
        <v/>
      </c>
      <c r="Y43" s="14" t="str">
        <f t="shared" si="10"/>
        <v/>
      </c>
      <c r="Z43" s="15" t="str">
        <f t="shared" si="11"/>
        <v/>
      </c>
      <c r="AA43" s="342">
        <f t="shared" si="12"/>
        <v>0</v>
      </c>
      <c r="AB43" s="342">
        <f t="shared" si="12"/>
        <v>0</v>
      </c>
      <c r="AC43" s="342">
        <f t="shared" si="13"/>
        <v>0</v>
      </c>
      <c r="AD43" s="342">
        <f t="shared" si="14"/>
        <v>0</v>
      </c>
    </row>
    <row r="44" spans="1:30" ht="12.75" customHeight="1" x14ac:dyDescent="0.2">
      <c r="A44" s="71">
        <v>26</v>
      </c>
      <c r="B44" s="17"/>
      <c r="C44" s="17"/>
      <c r="D44" s="17"/>
      <c r="E44" s="497"/>
      <c r="F44" s="497"/>
      <c r="G44" s="497"/>
      <c r="H44" s="497"/>
      <c r="I44" s="73"/>
      <c r="J44" s="492"/>
      <c r="K44" s="493" t="str">
        <f>IFERROR(VLOOKUP($R44,FeeLookup!$J$5:$L$33,2,FALSE),"")</f>
        <v/>
      </c>
      <c r="L44" s="493" t="str">
        <f>IFERROR(VLOOKUP($R44,FeeLookup!$J$5:$L$33,3,FALSE),"")</f>
        <v/>
      </c>
      <c r="M44" s="413" t="s">
        <v>65</v>
      </c>
      <c r="N44" s="414">
        <v>26</v>
      </c>
      <c r="O44" s="4"/>
      <c r="P44" s="12" t="str">
        <f t="shared" si="3"/>
        <v>TEF</v>
      </c>
      <c r="Q44" s="12" t="str">
        <f t="shared" si="4"/>
        <v/>
      </c>
      <c r="R44" s="13" t="str">
        <f t="shared" si="5"/>
        <v>_TEF_</v>
      </c>
      <c r="S44" s="13" t="str">
        <f t="shared" si="6"/>
        <v/>
      </c>
      <c r="T44" s="12" t="str">
        <f t="shared" si="7"/>
        <v/>
      </c>
      <c r="U44" s="12" t="str">
        <f t="shared" si="8"/>
        <v/>
      </c>
      <c r="V44" s="12" t="str">
        <f t="shared" si="0"/>
        <v>NO</v>
      </c>
      <c r="W44" s="14" t="str">
        <f t="shared" si="9"/>
        <v/>
      </c>
      <c r="X44" s="14" t="str">
        <f t="shared" si="1"/>
        <v/>
      </c>
      <c r="Y44" s="14" t="str">
        <f t="shared" si="10"/>
        <v/>
      </c>
      <c r="Z44" s="15" t="str">
        <f t="shared" si="11"/>
        <v/>
      </c>
      <c r="AA44" s="342">
        <f t="shared" si="12"/>
        <v>0</v>
      </c>
      <c r="AB44" s="342">
        <f t="shared" si="12"/>
        <v>0</v>
      </c>
      <c r="AC44" s="342">
        <f t="shared" si="13"/>
        <v>0</v>
      </c>
      <c r="AD44" s="342">
        <f t="shared" si="14"/>
        <v>0</v>
      </c>
    </row>
    <row r="45" spans="1:30" ht="12.75" customHeight="1" x14ac:dyDescent="0.2">
      <c r="A45" s="71">
        <v>27</v>
      </c>
      <c r="B45" s="17"/>
      <c r="C45" s="17"/>
      <c r="D45" s="17"/>
      <c r="E45" s="497"/>
      <c r="F45" s="497"/>
      <c r="G45" s="497"/>
      <c r="H45" s="497"/>
      <c r="I45" s="73"/>
      <c r="J45" s="492"/>
      <c r="K45" s="493" t="str">
        <f>IFERROR(VLOOKUP($R45,FeeLookup!$J$5:$L$33,2,FALSE),"")</f>
        <v/>
      </c>
      <c r="L45" s="493" t="str">
        <f>IFERROR(VLOOKUP($R45,FeeLookup!$J$5:$L$33,3,FALSE),"")</f>
        <v/>
      </c>
      <c r="M45" s="413" t="s">
        <v>65</v>
      </c>
      <c r="N45" s="414">
        <v>27</v>
      </c>
      <c r="O45" s="4"/>
      <c r="P45" s="12" t="str">
        <f t="shared" si="3"/>
        <v>TEF</v>
      </c>
      <c r="Q45" s="12" t="str">
        <f t="shared" si="4"/>
        <v/>
      </c>
      <c r="R45" s="13" t="str">
        <f t="shared" si="5"/>
        <v>_TEF_</v>
      </c>
      <c r="S45" s="13" t="str">
        <f t="shared" si="6"/>
        <v/>
      </c>
      <c r="T45" s="12" t="str">
        <f t="shared" si="7"/>
        <v/>
      </c>
      <c r="U45" s="12" t="str">
        <f t="shared" si="8"/>
        <v/>
      </c>
      <c r="V45" s="12" t="str">
        <f t="shared" si="0"/>
        <v>NO</v>
      </c>
      <c r="W45" s="14" t="str">
        <f t="shared" si="9"/>
        <v/>
      </c>
      <c r="X45" s="14" t="str">
        <f t="shared" si="1"/>
        <v/>
      </c>
      <c r="Y45" s="14" t="str">
        <f t="shared" si="10"/>
        <v/>
      </c>
      <c r="Z45" s="15" t="str">
        <f t="shared" si="11"/>
        <v/>
      </c>
      <c r="AA45" s="342">
        <f t="shared" si="12"/>
        <v>0</v>
      </c>
      <c r="AB45" s="342">
        <f t="shared" si="12"/>
        <v>0</v>
      </c>
      <c r="AC45" s="342">
        <f t="shared" si="13"/>
        <v>0</v>
      </c>
      <c r="AD45" s="342">
        <f t="shared" si="14"/>
        <v>0</v>
      </c>
    </row>
    <row r="46" spans="1:30" ht="12.75" customHeight="1" x14ac:dyDescent="0.2">
      <c r="A46" s="71">
        <v>28</v>
      </c>
      <c r="B46" s="17"/>
      <c r="C46" s="17"/>
      <c r="D46" s="17"/>
      <c r="E46" s="497"/>
      <c r="F46" s="497"/>
      <c r="G46" s="497"/>
      <c r="H46" s="497"/>
      <c r="I46" s="73"/>
      <c r="J46" s="492"/>
      <c r="K46" s="493" t="str">
        <f>IFERROR(VLOOKUP($R46,FeeLookup!$J$5:$L$33,2,FALSE),"")</f>
        <v/>
      </c>
      <c r="L46" s="493" t="str">
        <f>IFERROR(VLOOKUP($R46,FeeLookup!$J$5:$L$33,3,FALSE),"")</f>
        <v/>
      </c>
      <c r="M46" s="413" t="s">
        <v>65</v>
      </c>
      <c r="N46" s="414">
        <v>28</v>
      </c>
      <c r="O46" s="4"/>
      <c r="P46" s="12" t="str">
        <f t="shared" si="3"/>
        <v>TEF</v>
      </c>
      <c r="Q46" s="12" t="str">
        <f t="shared" si="4"/>
        <v/>
      </c>
      <c r="R46" s="13" t="str">
        <f t="shared" si="5"/>
        <v>_TEF_</v>
      </c>
      <c r="S46" s="13" t="str">
        <f t="shared" si="6"/>
        <v/>
      </c>
      <c r="T46" s="12" t="str">
        <f t="shared" si="7"/>
        <v/>
      </c>
      <c r="U46" s="12" t="str">
        <f t="shared" si="8"/>
        <v/>
      </c>
      <c r="V46" s="12" t="str">
        <f t="shared" si="0"/>
        <v>NO</v>
      </c>
      <c r="W46" s="14" t="str">
        <f t="shared" si="9"/>
        <v/>
      </c>
      <c r="X46" s="14" t="str">
        <f t="shared" si="1"/>
        <v/>
      </c>
      <c r="Y46" s="14" t="str">
        <f t="shared" si="10"/>
        <v/>
      </c>
      <c r="Z46" s="15" t="str">
        <f t="shared" si="11"/>
        <v/>
      </c>
      <c r="AA46" s="342">
        <f t="shared" si="12"/>
        <v>0</v>
      </c>
      <c r="AB46" s="342">
        <f t="shared" si="12"/>
        <v>0</v>
      </c>
      <c r="AC46" s="342">
        <f t="shared" si="13"/>
        <v>0</v>
      </c>
      <c r="AD46" s="342">
        <f t="shared" si="14"/>
        <v>0</v>
      </c>
    </row>
    <row r="47" spans="1:30" ht="12.75" customHeight="1" x14ac:dyDescent="0.2">
      <c r="A47" s="71">
        <v>29</v>
      </c>
      <c r="B47" s="17"/>
      <c r="C47" s="17"/>
      <c r="D47" s="17"/>
      <c r="E47" s="497"/>
      <c r="F47" s="497"/>
      <c r="G47" s="497"/>
      <c r="H47" s="497"/>
      <c r="I47" s="73"/>
      <c r="J47" s="492"/>
      <c r="K47" s="493" t="str">
        <f>IFERROR(VLOOKUP($R47,FeeLookup!$J$5:$L$33,2,FALSE),"")</f>
        <v/>
      </c>
      <c r="L47" s="493" t="str">
        <f>IFERROR(VLOOKUP($R47,FeeLookup!$J$5:$L$33,3,FALSE),"")</f>
        <v/>
      </c>
      <c r="M47" s="413" t="s">
        <v>65</v>
      </c>
      <c r="N47" s="414">
        <v>29</v>
      </c>
      <c r="O47" s="4"/>
      <c r="P47" s="12" t="str">
        <f t="shared" si="3"/>
        <v>TEF</v>
      </c>
      <c r="Q47" s="12" t="str">
        <f t="shared" si="4"/>
        <v/>
      </c>
      <c r="R47" s="13" t="str">
        <f t="shared" si="5"/>
        <v>_TEF_</v>
      </c>
      <c r="S47" s="13" t="str">
        <f t="shared" si="6"/>
        <v/>
      </c>
      <c r="T47" s="12" t="str">
        <f t="shared" si="7"/>
        <v/>
      </c>
      <c r="U47" s="12" t="str">
        <f t="shared" si="8"/>
        <v/>
      </c>
      <c r="V47" s="12" t="str">
        <f t="shared" si="0"/>
        <v>NO</v>
      </c>
      <c r="W47" s="14" t="str">
        <f t="shared" si="9"/>
        <v/>
      </c>
      <c r="X47" s="14" t="str">
        <f t="shared" si="1"/>
        <v/>
      </c>
      <c r="Y47" s="14" t="str">
        <f t="shared" si="10"/>
        <v/>
      </c>
      <c r="Z47" s="15" t="str">
        <f t="shared" si="11"/>
        <v/>
      </c>
      <c r="AA47" s="342">
        <f t="shared" si="12"/>
        <v>0</v>
      </c>
      <c r="AB47" s="342">
        <f t="shared" si="12"/>
        <v>0</v>
      </c>
      <c r="AC47" s="342">
        <f t="shared" si="13"/>
        <v>0</v>
      </c>
      <c r="AD47" s="342">
        <f t="shared" si="14"/>
        <v>0</v>
      </c>
    </row>
    <row r="48" spans="1:30" ht="12.75" customHeight="1" x14ac:dyDescent="0.2">
      <c r="A48" s="71">
        <v>30</v>
      </c>
      <c r="B48" s="17"/>
      <c r="C48" s="17"/>
      <c r="D48" s="17"/>
      <c r="E48" s="497"/>
      <c r="F48" s="497"/>
      <c r="G48" s="497"/>
      <c r="H48" s="497"/>
      <c r="I48" s="73"/>
      <c r="J48" s="492"/>
      <c r="K48" s="493" t="str">
        <f>IFERROR(VLOOKUP($R48,FeeLookup!$J$5:$L$33,2,FALSE),"")</f>
        <v/>
      </c>
      <c r="L48" s="493" t="str">
        <f>IFERROR(VLOOKUP($R48,FeeLookup!$J$5:$L$33,3,FALSE),"")</f>
        <v/>
      </c>
      <c r="M48" s="413" t="s">
        <v>65</v>
      </c>
      <c r="N48" s="414">
        <v>30</v>
      </c>
      <c r="O48" s="4"/>
      <c r="P48" s="12" t="str">
        <f t="shared" si="3"/>
        <v>TEF</v>
      </c>
      <c r="Q48" s="12" t="str">
        <f t="shared" si="4"/>
        <v/>
      </c>
      <c r="R48" s="13" t="str">
        <f t="shared" si="5"/>
        <v>_TEF_</v>
      </c>
      <c r="S48" s="13" t="str">
        <f t="shared" si="6"/>
        <v/>
      </c>
      <c r="T48" s="12" t="str">
        <f t="shared" si="7"/>
        <v/>
      </c>
      <c r="U48" s="12" t="str">
        <f t="shared" si="8"/>
        <v/>
      </c>
      <c r="V48" s="12" t="str">
        <f t="shared" si="0"/>
        <v>NO</v>
      </c>
      <c r="W48" s="14" t="str">
        <f t="shared" si="9"/>
        <v/>
      </c>
      <c r="X48" s="14" t="str">
        <f t="shared" si="1"/>
        <v/>
      </c>
      <c r="Y48" s="14" t="str">
        <f t="shared" si="10"/>
        <v/>
      </c>
      <c r="Z48" s="15" t="str">
        <f t="shared" si="11"/>
        <v/>
      </c>
      <c r="AA48" s="342">
        <f t="shared" si="12"/>
        <v>0</v>
      </c>
      <c r="AB48" s="342">
        <f t="shared" si="12"/>
        <v>0</v>
      </c>
      <c r="AC48" s="342">
        <f t="shared" si="13"/>
        <v>0</v>
      </c>
      <c r="AD48" s="342">
        <f t="shared" si="14"/>
        <v>0</v>
      </c>
    </row>
    <row r="49" spans="1:30" ht="12.75" customHeight="1" x14ac:dyDescent="0.2">
      <c r="A49" s="71">
        <v>31</v>
      </c>
      <c r="B49" s="17"/>
      <c r="C49" s="17"/>
      <c r="D49" s="17"/>
      <c r="E49" s="497"/>
      <c r="F49" s="497"/>
      <c r="G49" s="497"/>
      <c r="H49" s="497"/>
      <c r="I49" s="73"/>
      <c r="J49" s="492"/>
      <c r="K49" s="493" t="str">
        <f>IFERROR(VLOOKUP($R49,FeeLookup!$J$5:$L$33,2,FALSE),"")</f>
        <v/>
      </c>
      <c r="L49" s="493" t="str">
        <f>IFERROR(VLOOKUP($R49,FeeLookup!$J$5:$L$33,3,FALSE),"")</f>
        <v/>
      </c>
      <c r="M49" s="413" t="s">
        <v>65</v>
      </c>
      <c r="N49" s="414">
        <v>31</v>
      </c>
      <c r="O49" s="4"/>
      <c r="P49" s="12" t="str">
        <f t="shared" si="3"/>
        <v>TEF</v>
      </c>
      <c r="Q49" s="12" t="str">
        <f t="shared" si="4"/>
        <v/>
      </c>
      <c r="R49" s="13" t="str">
        <f t="shared" si="5"/>
        <v>_TEF_</v>
      </c>
      <c r="S49" s="13" t="str">
        <f t="shared" si="6"/>
        <v/>
      </c>
      <c r="T49" s="12" t="str">
        <f t="shared" si="7"/>
        <v/>
      </c>
      <c r="U49" s="12" t="str">
        <f t="shared" si="8"/>
        <v/>
      </c>
      <c r="V49" s="12" t="str">
        <f t="shared" si="0"/>
        <v>NO</v>
      </c>
      <c r="W49" s="14" t="str">
        <f t="shared" si="9"/>
        <v/>
      </c>
      <c r="X49" s="14" t="str">
        <f t="shared" si="1"/>
        <v/>
      </c>
      <c r="Y49" s="14" t="str">
        <f t="shared" si="10"/>
        <v/>
      </c>
      <c r="Z49" s="15" t="str">
        <f t="shared" si="11"/>
        <v/>
      </c>
      <c r="AA49" s="342">
        <f t="shared" si="12"/>
        <v>0</v>
      </c>
      <c r="AB49" s="342">
        <f t="shared" si="12"/>
        <v>0</v>
      </c>
      <c r="AC49" s="342">
        <f t="shared" si="13"/>
        <v>0</v>
      </c>
      <c r="AD49" s="342">
        <f t="shared" si="14"/>
        <v>0</v>
      </c>
    </row>
    <row r="50" spans="1:30" ht="12.75" customHeight="1" x14ac:dyDescent="0.2">
      <c r="A50" s="71">
        <v>32</v>
      </c>
      <c r="B50" s="17"/>
      <c r="C50" s="17"/>
      <c r="D50" s="17"/>
      <c r="E50" s="497"/>
      <c r="F50" s="497"/>
      <c r="G50" s="497"/>
      <c r="H50" s="497"/>
      <c r="I50" s="73"/>
      <c r="J50" s="492"/>
      <c r="K50" s="493" t="str">
        <f>IFERROR(VLOOKUP($R50,FeeLookup!$J$5:$L$33,2,FALSE),"")</f>
        <v/>
      </c>
      <c r="L50" s="493" t="str">
        <f>IFERROR(VLOOKUP($R50,FeeLookup!$J$5:$L$33,3,FALSE),"")</f>
        <v/>
      </c>
      <c r="M50" s="413" t="s">
        <v>65</v>
      </c>
      <c r="N50" s="414">
        <v>32</v>
      </c>
      <c r="O50" s="4"/>
      <c r="P50" s="12" t="str">
        <f t="shared" si="3"/>
        <v>TEF</v>
      </c>
      <c r="Q50" s="12" t="str">
        <f t="shared" si="4"/>
        <v/>
      </c>
      <c r="R50" s="13" t="str">
        <f t="shared" si="5"/>
        <v>_TEF_</v>
      </c>
      <c r="S50" s="13" t="str">
        <f t="shared" si="6"/>
        <v/>
      </c>
      <c r="T50" s="12" t="str">
        <f t="shared" si="7"/>
        <v/>
      </c>
      <c r="U50" s="12" t="str">
        <f t="shared" si="8"/>
        <v/>
      </c>
      <c r="V50" s="12" t="str">
        <f t="shared" si="0"/>
        <v>NO</v>
      </c>
      <c r="W50" s="14" t="str">
        <f t="shared" si="9"/>
        <v/>
      </c>
      <c r="X50" s="14" t="str">
        <f t="shared" si="1"/>
        <v/>
      </c>
      <c r="Y50" s="14" t="str">
        <f t="shared" si="10"/>
        <v/>
      </c>
      <c r="Z50" s="15" t="str">
        <f t="shared" si="11"/>
        <v/>
      </c>
      <c r="AA50" s="342">
        <f t="shared" si="12"/>
        <v>0</v>
      </c>
      <c r="AB50" s="342">
        <f t="shared" si="12"/>
        <v>0</v>
      </c>
      <c r="AC50" s="342">
        <f t="shared" si="13"/>
        <v>0</v>
      </c>
      <c r="AD50" s="342">
        <f t="shared" si="14"/>
        <v>0</v>
      </c>
    </row>
    <row r="51" spans="1:30" ht="12.75" customHeight="1" x14ac:dyDescent="0.2">
      <c r="A51" s="71">
        <v>33</v>
      </c>
      <c r="B51" s="17"/>
      <c r="C51" s="17"/>
      <c r="D51" s="17"/>
      <c r="E51" s="497"/>
      <c r="F51" s="497"/>
      <c r="G51" s="497"/>
      <c r="H51" s="497"/>
      <c r="I51" s="73"/>
      <c r="J51" s="492"/>
      <c r="K51" s="493" t="str">
        <f>IFERROR(VLOOKUP($R51,FeeLookup!$J$5:$L$33,2,FALSE),"")</f>
        <v/>
      </c>
      <c r="L51" s="493" t="str">
        <f>IFERROR(VLOOKUP($R51,FeeLookup!$J$5:$L$33,3,FALSE),"")</f>
        <v/>
      </c>
      <c r="M51" s="413" t="s">
        <v>65</v>
      </c>
      <c r="N51" s="414">
        <v>33</v>
      </c>
      <c r="O51" s="4"/>
      <c r="P51" s="12" t="str">
        <f t="shared" si="3"/>
        <v>TEF</v>
      </c>
      <c r="Q51" s="12" t="str">
        <f t="shared" si="4"/>
        <v/>
      </c>
      <c r="R51" s="13" t="str">
        <f t="shared" si="5"/>
        <v>_TEF_</v>
      </c>
      <c r="S51" s="13" t="str">
        <f t="shared" si="6"/>
        <v/>
      </c>
      <c r="T51" s="12" t="str">
        <f t="shared" si="7"/>
        <v/>
      </c>
      <c r="U51" s="12" t="str">
        <f t="shared" si="8"/>
        <v/>
      </c>
      <c r="V51" s="12" t="str">
        <f t="shared" ref="V51:V82" si="15">IF(COUNTBLANK(B51:J51)=9,"NO","YES")</f>
        <v>NO</v>
      </c>
      <c r="W51" s="14" t="str">
        <f t="shared" si="9"/>
        <v/>
      </c>
      <c r="X51" s="14" t="str">
        <f t="shared" si="1"/>
        <v/>
      </c>
      <c r="Y51" s="14" t="str">
        <f t="shared" si="10"/>
        <v/>
      </c>
      <c r="Z51" s="15" t="str">
        <f t="shared" si="11"/>
        <v/>
      </c>
      <c r="AA51" s="342">
        <f t="shared" si="12"/>
        <v>0</v>
      </c>
      <c r="AB51" s="342">
        <f t="shared" si="12"/>
        <v>0</v>
      </c>
      <c r="AC51" s="342">
        <f t="shared" si="13"/>
        <v>0</v>
      </c>
      <c r="AD51" s="342">
        <f t="shared" si="14"/>
        <v>0</v>
      </c>
    </row>
    <row r="52" spans="1:30" ht="12.75" customHeight="1" x14ac:dyDescent="0.2">
      <c r="A52" s="71">
        <v>34</v>
      </c>
      <c r="B52" s="17"/>
      <c r="C52" s="17"/>
      <c r="D52" s="17"/>
      <c r="E52" s="497"/>
      <c r="F52" s="497"/>
      <c r="G52" s="497"/>
      <c r="H52" s="497"/>
      <c r="I52" s="73"/>
      <c r="J52" s="492"/>
      <c r="K52" s="493" t="str">
        <f>IFERROR(VLOOKUP($R52,FeeLookup!$J$5:$L$33,2,FALSE),"")</f>
        <v/>
      </c>
      <c r="L52" s="493" t="str">
        <f>IFERROR(VLOOKUP($R52,FeeLookup!$J$5:$L$33,3,FALSE),"")</f>
        <v/>
      </c>
      <c r="M52" s="413" t="s">
        <v>65</v>
      </c>
      <c r="N52" s="414">
        <v>34</v>
      </c>
      <c r="O52" s="4"/>
      <c r="P52" s="12" t="str">
        <f t="shared" si="3"/>
        <v>TEF</v>
      </c>
      <c r="Q52" s="12" t="str">
        <f t="shared" si="4"/>
        <v/>
      </c>
      <c r="R52" s="13" t="str">
        <f t="shared" si="5"/>
        <v>_TEF_</v>
      </c>
      <c r="S52" s="13" t="str">
        <f t="shared" si="6"/>
        <v/>
      </c>
      <c r="T52" s="12" t="str">
        <f t="shared" si="7"/>
        <v/>
      </c>
      <c r="U52" s="12" t="str">
        <f t="shared" si="8"/>
        <v/>
      </c>
      <c r="V52" s="12" t="str">
        <f t="shared" si="15"/>
        <v>NO</v>
      </c>
      <c r="W52" s="14" t="str">
        <f t="shared" si="9"/>
        <v/>
      </c>
      <c r="X52" s="14" t="str">
        <f t="shared" si="1"/>
        <v/>
      </c>
      <c r="Y52" s="14" t="str">
        <f t="shared" si="10"/>
        <v/>
      </c>
      <c r="Z52" s="15" t="str">
        <f t="shared" si="11"/>
        <v/>
      </c>
      <c r="AA52" s="342">
        <f t="shared" si="12"/>
        <v>0</v>
      </c>
      <c r="AB52" s="342">
        <f t="shared" si="12"/>
        <v>0</v>
      </c>
      <c r="AC52" s="342">
        <f t="shared" si="13"/>
        <v>0</v>
      </c>
      <c r="AD52" s="342">
        <f t="shared" si="14"/>
        <v>0</v>
      </c>
    </row>
    <row r="53" spans="1:30" ht="12.75" customHeight="1" x14ac:dyDescent="0.2">
      <c r="A53" s="71">
        <v>35</v>
      </c>
      <c r="B53" s="17"/>
      <c r="C53" s="17"/>
      <c r="D53" s="17"/>
      <c r="E53" s="497"/>
      <c r="F53" s="497"/>
      <c r="G53" s="497"/>
      <c r="H53" s="497"/>
      <c r="I53" s="73"/>
      <c r="J53" s="492"/>
      <c r="K53" s="493" t="str">
        <f>IFERROR(VLOOKUP($R53,FeeLookup!$J$5:$L$33,2,FALSE),"")</f>
        <v/>
      </c>
      <c r="L53" s="493" t="str">
        <f>IFERROR(VLOOKUP($R53,FeeLookup!$J$5:$L$33,3,FALSE),"")</f>
        <v/>
      </c>
      <c r="M53" s="413" t="s">
        <v>65</v>
      </c>
      <c r="N53" s="414">
        <v>35</v>
      </c>
      <c r="O53" s="4"/>
      <c r="P53" s="12" t="str">
        <f t="shared" si="3"/>
        <v>TEF</v>
      </c>
      <c r="Q53" s="12" t="str">
        <f t="shared" si="4"/>
        <v/>
      </c>
      <c r="R53" s="13" t="str">
        <f t="shared" si="5"/>
        <v>_TEF_</v>
      </c>
      <c r="S53" s="13" t="str">
        <f t="shared" si="6"/>
        <v/>
      </c>
      <c r="T53" s="12" t="str">
        <f t="shared" si="7"/>
        <v/>
      </c>
      <c r="U53" s="12" t="str">
        <f t="shared" si="8"/>
        <v/>
      </c>
      <c r="V53" s="12" t="str">
        <f t="shared" si="15"/>
        <v>NO</v>
      </c>
      <c r="W53" s="14" t="str">
        <f t="shared" si="9"/>
        <v/>
      </c>
      <c r="X53" s="14" t="str">
        <f t="shared" si="1"/>
        <v/>
      </c>
      <c r="Y53" s="14" t="str">
        <f t="shared" si="10"/>
        <v/>
      </c>
      <c r="Z53" s="15" t="str">
        <f t="shared" si="11"/>
        <v/>
      </c>
      <c r="AA53" s="342">
        <f t="shared" si="12"/>
        <v>0</v>
      </c>
      <c r="AB53" s="342">
        <f t="shared" si="12"/>
        <v>0</v>
      </c>
      <c r="AC53" s="342">
        <f t="shared" si="13"/>
        <v>0</v>
      </c>
      <c r="AD53" s="342">
        <f t="shared" si="14"/>
        <v>0</v>
      </c>
    </row>
    <row r="54" spans="1:30" ht="12.75" customHeight="1" x14ac:dyDescent="0.2">
      <c r="A54" s="71">
        <v>36</v>
      </c>
      <c r="B54" s="17"/>
      <c r="C54" s="17"/>
      <c r="D54" s="17"/>
      <c r="E54" s="497"/>
      <c r="F54" s="497"/>
      <c r="G54" s="497"/>
      <c r="H54" s="497"/>
      <c r="I54" s="73"/>
      <c r="J54" s="492"/>
      <c r="K54" s="493" t="str">
        <f>IFERROR(VLOOKUP($R54,FeeLookup!$J$5:$L$33,2,FALSE),"")</f>
        <v/>
      </c>
      <c r="L54" s="493" t="str">
        <f>IFERROR(VLOOKUP($R54,FeeLookup!$J$5:$L$33,3,FALSE),"")</f>
        <v/>
      </c>
      <c r="M54" s="413" t="s">
        <v>65</v>
      </c>
      <c r="N54" s="414">
        <v>36</v>
      </c>
      <c r="O54" s="4"/>
      <c r="P54" s="12" t="str">
        <f t="shared" si="3"/>
        <v>TEF</v>
      </c>
      <c r="Q54" s="12" t="str">
        <f t="shared" si="4"/>
        <v/>
      </c>
      <c r="R54" s="13" t="str">
        <f t="shared" si="5"/>
        <v>_TEF_</v>
      </c>
      <c r="S54" s="13" t="str">
        <f t="shared" si="6"/>
        <v/>
      </c>
      <c r="T54" s="12" t="str">
        <f t="shared" si="7"/>
        <v/>
      </c>
      <c r="U54" s="12" t="str">
        <f t="shared" si="8"/>
        <v/>
      </c>
      <c r="V54" s="12" t="str">
        <f t="shared" si="15"/>
        <v>NO</v>
      </c>
      <c r="W54" s="14" t="str">
        <f t="shared" si="9"/>
        <v/>
      </c>
      <c r="X54" s="14" t="str">
        <f t="shared" si="1"/>
        <v/>
      </c>
      <c r="Y54" s="14" t="str">
        <f t="shared" si="10"/>
        <v/>
      </c>
      <c r="Z54" s="15" t="str">
        <f t="shared" si="11"/>
        <v/>
      </c>
      <c r="AA54" s="342">
        <f t="shared" si="12"/>
        <v>0</v>
      </c>
      <c r="AB54" s="342">
        <f t="shared" si="12"/>
        <v>0</v>
      </c>
      <c r="AC54" s="342">
        <f t="shared" si="13"/>
        <v>0</v>
      </c>
      <c r="AD54" s="342">
        <f t="shared" si="14"/>
        <v>0</v>
      </c>
    </row>
    <row r="55" spans="1:30" ht="12.75" customHeight="1" x14ac:dyDescent="0.2">
      <c r="A55" s="71">
        <v>37</v>
      </c>
      <c r="B55" s="17"/>
      <c r="C55" s="17"/>
      <c r="D55" s="17"/>
      <c r="E55" s="497"/>
      <c r="F55" s="497"/>
      <c r="G55" s="497"/>
      <c r="H55" s="497"/>
      <c r="I55" s="73"/>
      <c r="J55" s="492"/>
      <c r="K55" s="493" t="str">
        <f>IFERROR(VLOOKUP($R55,FeeLookup!$J$5:$L$33,2,FALSE),"")</f>
        <v/>
      </c>
      <c r="L55" s="493" t="str">
        <f>IFERROR(VLOOKUP($R55,FeeLookup!$J$5:$L$33,3,FALSE),"")</f>
        <v/>
      </c>
      <c r="M55" s="413" t="s">
        <v>65</v>
      </c>
      <c r="N55" s="414">
        <v>37</v>
      </c>
      <c r="O55" s="4"/>
      <c r="P55" s="12" t="str">
        <f t="shared" si="3"/>
        <v>TEF</v>
      </c>
      <c r="Q55" s="12" t="str">
        <f t="shared" si="4"/>
        <v/>
      </c>
      <c r="R55" s="13" t="str">
        <f t="shared" si="5"/>
        <v>_TEF_</v>
      </c>
      <c r="S55" s="13" t="str">
        <f t="shared" si="6"/>
        <v/>
      </c>
      <c r="T55" s="12" t="str">
        <f t="shared" si="7"/>
        <v/>
      </c>
      <c r="U55" s="12" t="str">
        <f t="shared" si="8"/>
        <v/>
      </c>
      <c r="V55" s="12" t="str">
        <f t="shared" si="15"/>
        <v>NO</v>
      </c>
      <c r="W55" s="14" t="str">
        <f t="shared" si="9"/>
        <v/>
      </c>
      <c r="X55" s="14" t="str">
        <f t="shared" si="1"/>
        <v/>
      </c>
      <c r="Y55" s="14" t="str">
        <f t="shared" si="10"/>
        <v/>
      </c>
      <c r="Z55" s="15" t="str">
        <f t="shared" si="11"/>
        <v/>
      </c>
      <c r="AA55" s="342">
        <f t="shared" si="12"/>
        <v>0</v>
      </c>
      <c r="AB55" s="342">
        <f t="shared" si="12"/>
        <v>0</v>
      </c>
      <c r="AC55" s="342">
        <f t="shared" si="13"/>
        <v>0</v>
      </c>
      <c r="AD55" s="342">
        <f t="shared" si="14"/>
        <v>0</v>
      </c>
    </row>
    <row r="56" spans="1:30" ht="12.75" customHeight="1" x14ac:dyDescent="0.2">
      <c r="A56" s="71">
        <v>38</v>
      </c>
      <c r="B56" s="17"/>
      <c r="C56" s="17"/>
      <c r="D56" s="17"/>
      <c r="E56" s="497"/>
      <c r="F56" s="497"/>
      <c r="G56" s="497"/>
      <c r="H56" s="497"/>
      <c r="I56" s="73"/>
      <c r="J56" s="492"/>
      <c r="K56" s="493" t="str">
        <f>IFERROR(VLOOKUP($R56,FeeLookup!$J$5:$L$33,2,FALSE),"")</f>
        <v/>
      </c>
      <c r="L56" s="493" t="str">
        <f>IFERROR(VLOOKUP($R56,FeeLookup!$J$5:$L$33,3,FALSE),"")</f>
        <v/>
      </c>
      <c r="M56" s="413" t="s">
        <v>65</v>
      </c>
      <c r="N56" s="414">
        <v>38</v>
      </c>
      <c r="O56" s="4"/>
      <c r="P56" s="12" t="str">
        <f t="shared" si="3"/>
        <v>TEF</v>
      </c>
      <c r="Q56" s="12" t="str">
        <f t="shared" si="4"/>
        <v/>
      </c>
      <c r="R56" s="13" t="str">
        <f t="shared" si="5"/>
        <v>_TEF_</v>
      </c>
      <c r="S56" s="13" t="str">
        <f t="shared" si="6"/>
        <v/>
      </c>
      <c r="T56" s="12" t="str">
        <f t="shared" si="7"/>
        <v/>
      </c>
      <c r="U56" s="12" t="str">
        <f t="shared" si="8"/>
        <v/>
      </c>
      <c r="V56" s="12" t="str">
        <f t="shared" si="15"/>
        <v>NO</v>
      </c>
      <c r="W56" s="14" t="str">
        <f t="shared" si="9"/>
        <v/>
      </c>
      <c r="X56" s="14" t="str">
        <f t="shared" si="1"/>
        <v/>
      </c>
      <c r="Y56" s="14" t="str">
        <f t="shared" si="10"/>
        <v/>
      </c>
      <c r="Z56" s="15" t="str">
        <f t="shared" si="11"/>
        <v/>
      </c>
      <c r="AA56" s="342">
        <f t="shared" si="12"/>
        <v>0</v>
      </c>
      <c r="AB56" s="342">
        <f t="shared" si="12"/>
        <v>0</v>
      </c>
      <c r="AC56" s="342">
        <f t="shared" si="13"/>
        <v>0</v>
      </c>
      <c r="AD56" s="342">
        <f t="shared" si="14"/>
        <v>0</v>
      </c>
    </row>
    <row r="57" spans="1:30" ht="12.75" customHeight="1" x14ac:dyDescent="0.2">
      <c r="A57" s="71">
        <v>39</v>
      </c>
      <c r="B57" s="17"/>
      <c r="C57" s="17"/>
      <c r="D57" s="17"/>
      <c r="E57" s="497"/>
      <c r="F57" s="497"/>
      <c r="G57" s="497"/>
      <c r="H57" s="497"/>
      <c r="I57" s="73"/>
      <c r="J57" s="492"/>
      <c r="K57" s="493" t="str">
        <f>IFERROR(VLOOKUP($R57,FeeLookup!$J$5:$L$33,2,FALSE),"")</f>
        <v/>
      </c>
      <c r="L57" s="493" t="str">
        <f>IFERROR(VLOOKUP($R57,FeeLookup!$J$5:$L$33,3,FALSE),"")</f>
        <v/>
      </c>
      <c r="M57" s="413" t="s">
        <v>65</v>
      </c>
      <c r="N57" s="414">
        <v>39</v>
      </c>
      <c r="O57" s="4"/>
      <c r="P57" s="12" t="str">
        <f t="shared" si="3"/>
        <v>TEF</v>
      </c>
      <c r="Q57" s="12" t="str">
        <f t="shared" si="4"/>
        <v/>
      </c>
      <c r="R57" s="13" t="str">
        <f t="shared" si="5"/>
        <v>_TEF_</v>
      </c>
      <c r="S57" s="13" t="str">
        <f t="shared" si="6"/>
        <v/>
      </c>
      <c r="T57" s="12" t="str">
        <f t="shared" si="7"/>
        <v/>
      </c>
      <c r="U57" s="12" t="str">
        <f t="shared" si="8"/>
        <v/>
      </c>
      <c r="V57" s="12" t="str">
        <f t="shared" si="15"/>
        <v>NO</v>
      </c>
      <c r="W57" s="14" t="str">
        <f t="shared" si="9"/>
        <v/>
      </c>
      <c r="X57" s="14" t="str">
        <f t="shared" si="1"/>
        <v/>
      </c>
      <c r="Y57" s="14" t="str">
        <f t="shared" si="10"/>
        <v/>
      </c>
      <c r="Z57" s="15" t="str">
        <f t="shared" si="11"/>
        <v/>
      </c>
      <c r="AA57" s="342">
        <f t="shared" si="12"/>
        <v>0</v>
      </c>
      <c r="AB57" s="342">
        <f t="shared" si="12"/>
        <v>0</v>
      </c>
      <c r="AC57" s="342">
        <f t="shared" si="13"/>
        <v>0</v>
      </c>
      <c r="AD57" s="342">
        <f t="shared" si="14"/>
        <v>0</v>
      </c>
    </row>
    <row r="58" spans="1:30" ht="12.75" customHeight="1" x14ac:dyDescent="0.2">
      <c r="A58" s="71">
        <v>40</v>
      </c>
      <c r="B58" s="17"/>
      <c r="C58" s="17"/>
      <c r="D58" s="17"/>
      <c r="E58" s="497"/>
      <c r="F58" s="497"/>
      <c r="G58" s="497"/>
      <c r="H58" s="497"/>
      <c r="I58" s="73"/>
      <c r="J58" s="492"/>
      <c r="K58" s="493" t="str">
        <f>IFERROR(VLOOKUP($R58,FeeLookup!$J$5:$L$33,2,FALSE),"")</f>
        <v/>
      </c>
      <c r="L58" s="493" t="str">
        <f>IFERROR(VLOOKUP($R58,FeeLookup!$J$5:$L$33,3,FALSE),"")</f>
        <v/>
      </c>
      <c r="M58" s="413" t="s">
        <v>65</v>
      </c>
      <c r="N58" s="414">
        <v>40</v>
      </c>
      <c r="O58" s="4"/>
      <c r="P58" s="12" t="str">
        <f t="shared" si="3"/>
        <v>TEF</v>
      </c>
      <c r="Q58" s="12" t="str">
        <f t="shared" si="4"/>
        <v/>
      </c>
      <c r="R58" s="13" t="str">
        <f t="shared" si="5"/>
        <v>_TEF_</v>
      </c>
      <c r="S58" s="13" t="str">
        <f t="shared" si="6"/>
        <v/>
      </c>
      <c r="T58" s="12" t="str">
        <f t="shared" si="7"/>
        <v/>
      </c>
      <c r="U58" s="12" t="str">
        <f t="shared" si="8"/>
        <v/>
      </c>
      <c r="V58" s="12" t="str">
        <f t="shared" si="15"/>
        <v>NO</v>
      </c>
      <c r="W58" s="14" t="str">
        <f t="shared" si="9"/>
        <v/>
      </c>
      <c r="X58" s="14" t="str">
        <f t="shared" si="1"/>
        <v/>
      </c>
      <c r="Y58" s="14" t="str">
        <f t="shared" si="10"/>
        <v/>
      </c>
      <c r="Z58" s="15" t="str">
        <f t="shared" si="11"/>
        <v/>
      </c>
      <c r="AA58" s="342">
        <f t="shared" si="12"/>
        <v>0</v>
      </c>
      <c r="AB58" s="342">
        <f t="shared" si="12"/>
        <v>0</v>
      </c>
      <c r="AC58" s="342">
        <f t="shared" si="13"/>
        <v>0</v>
      </c>
      <c r="AD58" s="342">
        <f t="shared" si="14"/>
        <v>0</v>
      </c>
    </row>
    <row r="59" spans="1:30" ht="12.75" customHeight="1" x14ac:dyDescent="0.2">
      <c r="A59" s="71">
        <v>41</v>
      </c>
      <c r="B59" s="17"/>
      <c r="C59" s="17"/>
      <c r="D59" s="17"/>
      <c r="E59" s="497"/>
      <c r="F59" s="497"/>
      <c r="G59" s="497"/>
      <c r="H59" s="497"/>
      <c r="I59" s="73"/>
      <c r="J59" s="492"/>
      <c r="K59" s="493" t="str">
        <f>IFERROR(VLOOKUP($R59,FeeLookup!$J$5:$L$33,2,FALSE),"")</f>
        <v/>
      </c>
      <c r="L59" s="493" t="str">
        <f>IFERROR(VLOOKUP($R59,FeeLookup!$J$5:$L$33,3,FALSE),"")</f>
        <v/>
      </c>
      <c r="M59" s="413" t="s">
        <v>65</v>
      </c>
      <c r="N59" s="414">
        <v>41</v>
      </c>
      <c r="O59" s="4"/>
      <c r="P59" s="12" t="str">
        <f t="shared" si="3"/>
        <v>TEF</v>
      </c>
      <c r="Q59" s="12" t="str">
        <f t="shared" si="4"/>
        <v/>
      </c>
      <c r="R59" s="13" t="str">
        <f t="shared" si="5"/>
        <v>_TEF_</v>
      </c>
      <c r="S59" s="13" t="str">
        <f t="shared" si="6"/>
        <v/>
      </c>
      <c r="T59" s="12" t="str">
        <f t="shared" si="7"/>
        <v/>
      </c>
      <c r="U59" s="12" t="str">
        <f t="shared" si="8"/>
        <v/>
      </c>
      <c r="V59" s="12" t="str">
        <f t="shared" si="15"/>
        <v>NO</v>
      </c>
      <c r="W59" s="14" t="str">
        <f t="shared" si="9"/>
        <v/>
      </c>
      <c r="X59" s="14" t="str">
        <f t="shared" si="1"/>
        <v/>
      </c>
      <c r="Y59" s="14" t="str">
        <f t="shared" si="10"/>
        <v/>
      </c>
      <c r="Z59" s="15" t="str">
        <f t="shared" si="11"/>
        <v/>
      </c>
      <c r="AA59" s="342">
        <f t="shared" si="12"/>
        <v>0</v>
      </c>
      <c r="AB59" s="342">
        <f t="shared" si="12"/>
        <v>0</v>
      </c>
      <c r="AC59" s="342">
        <f t="shared" si="13"/>
        <v>0</v>
      </c>
      <c r="AD59" s="342">
        <f t="shared" si="14"/>
        <v>0</v>
      </c>
    </row>
    <row r="60" spans="1:30" ht="12.75" customHeight="1" x14ac:dyDescent="0.2">
      <c r="A60" s="71">
        <v>42</v>
      </c>
      <c r="B60" s="17"/>
      <c r="C60" s="17"/>
      <c r="D60" s="17"/>
      <c r="E60" s="497"/>
      <c r="F60" s="497"/>
      <c r="G60" s="497"/>
      <c r="H60" s="497"/>
      <c r="I60" s="73"/>
      <c r="J60" s="492"/>
      <c r="K60" s="493" t="str">
        <f>IFERROR(VLOOKUP($R60,FeeLookup!$J$5:$L$33,2,FALSE),"")</f>
        <v/>
      </c>
      <c r="L60" s="493" t="str">
        <f>IFERROR(VLOOKUP($R60,FeeLookup!$J$5:$L$33,3,FALSE),"")</f>
        <v/>
      </c>
      <c r="M60" s="413" t="s">
        <v>65</v>
      </c>
      <c r="N60" s="414">
        <v>42</v>
      </c>
      <c r="O60" s="4"/>
      <c r="P60" s="12" t="str">
        <f t="shared" si="3"/>
        <v>TEF</v>
      </c>
      <c r="Q60" s="12" t="str">
        <f t="shared" si="4"/>
        <v/>
      </c>
      <c r="R60" s="13" t="str">
        <f t="shared" si="5"/>
        <v>_TEF_</v>
      </c>
      <c r="S60" s="13" t="str">
        <f t="shared" si="6"/>
        <v/>
      </c>
      <c r="T60" s="12" t="str">
        <f t="shared" si="7"/>
        <v/>
      </c>
      <c r="U60" s="12" t="str">
        <f t="shared" si="8"/>
        <v/>
      </c>
      <c r="V60" s="12" t="str">
        <f t="shared" si="15"/>
        <v>NO</v>
      </c>
      <c r="W60" s="14" t="str">
        <f t="shared" si="9"/>
        <v/>
      </c>
      <c r="X60" s="14" t="str">
        <f t="shared" si="1"/>
        <v/>
      </c>
      <c r="Y60" s="14" t="str">
        <f t="shared" si="10"/>
        <v/>
      </c>
      <c r="Z60" s="15" t="str">
        <f t="shared" si="11"/>
        <v/>
      </c>
      <c r="AA60" s="342">
        <f t="shared" si="12"/>
        <v>0</v>
      </c>
      <c r="AB60" s="342">
        <f t="shared" si="12"/>
        <v>0</v>
      </c>
      <c r="AC60" s="342">
        <f t="shared" si="13"/>
        <v>0</v>
      </c>
      <c r="AD60" s="342">
        <f t="shared" si="14"/>
        <v>0</v>
      </c>
    </row>
    <row r="61" spans="1:30" ht="12.75" customHeight="1" x14ac:dyDescent="0.2">
      <c r="A61" s="71">
        <v>43</v>
      </c>
      <c r="B61" s="17"/>
      <c r="C61" s="17"/>
      <c r="D61" s="17"/>
      <c r="E61" s="497"/>
      <c r="F61" s="497"/>
      <c r="G61" s="497"/>
      <c r="H61" s="497"/>
      <c r="I61" s="73"/>
      <c r="J61" s="492"/>
      <c r="K61" s="493" t="str">
        <f>IFERROR(VLOOKUP($R61,FeeLookup!$J$5:$L$33,2,FALSE),"")</f>
        <v/>
      </c>
      <c r="L61" s="493" t="str">
        <f>IFERROR(VLOOKUP($R61,FeeLookup!$J$5:$L$33,3,FALSE),"")</f>
        <v/>
      </c>
      <c r="M61" s="413" t="s">
        <v>65</v>
      </c>
      <c r="N61" s="414">
        <v>43</v>
      </c>
      <c r="O61" s="4"/>
      <c r="P61" s="12" t="str">
        <f t="shared" si="3"/>
        <v>TEF</v>
      </c>
      <c r="Q61" s="12" t="str">
        <f t="shared" si="4"/>
        <v/>
      </c>
      <c r="R61" s="13" t="str">
        <f t="shared" si="5"/>
        <v>_TEF_</v>
      </c>
      <c r="S61" s="13" t="str">
        <f t="shared" si="6"/>
        <v/>
      </c>
      <c r="T61" s="12" t="str">
        <f t="shared" si="7"/>
        <v/>
      </c>
      <c r="U61" s="12" t="str">
        <f t="shared" si="8"/>
        <v/>
      </c>
      <c r="V61" s="12" t="str">
        <f t="shared" si="15"/>
        <v>NO</v>
      </c>
      <c r="W61" s="14" t="str">
        <f t="shared" si="9"/>
        <v/>
      </c>
      <c r="X61" s="14" t="str">
        <f t="shared" si="1"/>
        <v/>
      </c>
      <c r="Y61" s="14" t="str">
        <f t="shared" si="10"/>
        <v/>
      </c>
      <c r="Z61" s="15" t="str">
        <f t="shared" si="11"/>
        <v/>
      </c>
      <c r="AA61" s="342">
        <f t="shared" si="12"/>
        <v>0</v>
      </c>
      <c r="AB61" s="342">
        <f t="shared" si="12"/>
        <v>0</v>
      </c>
      <c r="AC61" s="342">
        <f t="shared" si="13"/>
        <v>0</v>
      </c>
      <c r="AD61" s="342">
        <f t="shared" si="14"/>
        <v>0</v>
      </c>
    </row>
    <row r="62" spans="1:30" ht="12.75" customHeight="1" x14ac:dyDescent="0.2">
      <c r="A62" s="71">
        <v>44</v>
      </c>
      <c r="B62" s="17"/>
      <c r="C62" s="17"/>
      <c r="D62" s="17"/>
      <c r="E62" s="497"/>
      <c r="F62" s="497"/>
      <c r="G62" s="497"/>
      <c r="H62" s="497"/>
      <c r="I62" s="73"/>
      <c r="J62" s="492"/>
      <c r="K62" s="493" t="str">
        <f>IFERROR(VLOOKUP($R62,FeeLookup!$J$5:$L$33,2,FALSE),"")</f>
        <v/>
      </c>
      <c r="L62" s="493" t="str">
        <f>IFERROR(VLOOKUP($R62,FeeLookup!$J$5:$L$33,3,FALSE),"")</f>
        <v/>
      </c>
      <c r="M62" s="413" t="s">
        <v>65</v>
      </c>
      <c r="N62" s="414">
        <v>44</v>
      </c>
      <c r="O62" s="4"/>
      <c r="P62" s="12" t="str">
        <f t="shared" si="3"/>
        <v>TEF</v>
      </c>
      <c r="Q62" s="12" t="str">
        <f t="shared" si="4"/>
        <v/>
      </c>
      <c r="R62" s="13" t="str">
        <f t="shared" si="5"/>
        <v>_TEF_</v>
      </c>
      <c r="S62" s="13" t="str">
        <f t="shared" si="6"/>
        <v/>
      </c>
      <c r="T62" s="12" t="str">
        <f t="shared" si="7"/>
        <v/>
      </c>
      <c r="U62" s="12" t="str">
        <f t="shared" si="8"/>
        <v/>
      </c>
      <c r="V62" s="12" t="str">
        <f t="shared" si="15"/>
        <v>NO</v>
      </c>
      <c r="W62" s="14" t="str">
        <f t="shared" si="9"/>
        <v/>
      </c>
      <c r="X62" s="14" t="str">
        <f t="shared" si="1"/>
        <v/>
      </c>
      <c r="Y62" s="14" t="str">
        <f t="shared" si="10"/>
        <v/>
      </c>
      <c r="Z62" s="15" t="str">
        <f t="shared" si="11"/>
        <v/>
      </c>
      <c r="AA62" s="342">
        <f t="shared" si="12"/>
        <v>0</v>
      </c>
      <c r="AB62" s="342">
        <f t="shared" si="12"/>
        <v>0</v>
      </c>
      <c r="AC62" s="342">
        <f t="shared" si="13"/>
        <v>0</v>
      </c>
      <c r="AD62" s="342">
        <f t="shared" si="14"/>
        <v>0</v>
      </c>
    </row>
    <row r="63" spans="1:30" ht="12.75" customHeight="1" x14ac:dyDescent="0.2">
      <c r="A63" s="71">
        <v>45</v>
      </c>
      <c r="B63" s="17"/>
      <c r="C63" s="17"/>
      <c r="D63" s="17"/>
      <c r="E63" s="497"/>
      <c r="F63" s="497"/>
      <c r="G63" s="497"/>
      <c r="H63" s="497"/>
      <c r="I63" s="73"/>
      <c r="J63" s="492"/>
      <c r="K63" s="493" t="str">
        <f>IFERROR(VLOOKUP($R63,FeeLookup!$J$5:$L$33,2,FALSE),"")</f>
        <v/>
      </c>
      <c r="L63" s="493" t="str">
        <f>IFERROR(VLOOKUP($R63,FeeLookup!$J$5:$L$33,3,FALSE),"")</f>
        <v/>
      </c>
      <c r="M63" s="413" t="s">
        <v>65</v>
      </c>
      <c r="N63" s="414">
        <v>45</v>
      </c>
      <c r="O63" s="4"/>
      <c r="P63" s="12" t="str">
        <f t="shared" si="3"/>
        <v>TEF</v>
      </c>
      <c r="Q63" s="12" t="str">
        <f t="shared" si="4"/>
        <v/>
      </c>
      <c r="R63" s="13" t="str">
        <f t="shared" si="5"/>
        <v>_TEF_</v>
      </c>
      <c r="S63" s="13" t="str">
        <f t="shared" si="6"/>
        <v/>
      </c>
      <c r="T63" s="12" t="str">
        <f t="shared" si="7"/>
        <v/>
      </c>
      <c r="U63" s="12" t="str">
        <f t="shared" si="8"/>
        <v/>
      </c>
      <c r="V63" s="12" t="str">
        <f t="shared" si="15"/>
        <v>NO</v>
      </c>
      <c r="W63" s="14" t="str">
        <f t="shared" si="9"/>
        <v/>
      </c>
      <c r="X63" s="14" t="str">
        <f t="shared" si="1"/>
        <v/>
      </c>
      <c r="Y63" s="14" t="str">
        <f t="shared" si="10"/>
        <v/>
      </c>
      <c r="Z63" s="15" t="str">
        <f t="shared" si="11"/>
        <v/>
      </c>
      <c r="AA63" s="342">
        <f t="shared" si="12"/>
        <v>0</v>
      </c>
      <c r="AB63" s="342">
        <f t="shared" si="12"/>
        <v>0</v>
      </c>
      <c r="AC63" s="342">
        <f t="shared" si="13"/>
        <v>0</v>
      </c>
      <c r="AD63" s="342">
        <f t="shared" si="14"/>
        <v>0</v>
      </c>
    </row>
    <row r="64" spans="1:30" ht="12.75" customHeight="1" x14ac:dyDescent="0.2">
      <c r="A64" s="71">
        <v>46</v>
      </c>
      <c r="B64" s="17"/>
      <c r="C64" s="17"/>
      <c r="D64" s="17"/>
      <c r="E64" s="497"/>
      <c r="F64" s="497"/>
      <c r="G64" s="497"/>
      <c r="H64" s="497"/>
      <c r="I64" s="73"/>
      <c r="J64" s="492"/>
      <c r="K64" s="493" t="str">
        <f>IFERROR(VLOOKUP($R64,FeeLookup!$J$5:$L$33,2,FALSE),"")</f>
        <v/>
      </c>
      <c r="L64" s="493" t="str">
        <f>IFERROR(VLOOKUP($R64,FeeLookup!$J$5:$L$33,3,FALSE),"")</f>
        <v/>
      </c>
      <c r="M64" s="413" t="s">
        <v>65</v>
      </c>
      <c r="N64" s="414">
        <v>46</v>
      </c>
      <c r="O64" s="4"/>
      <c r="P64" s="12" t="str">
        <f t="shared" si="3"/>
        <v>TEF</v>
      </c>
      <c r="Q64" s="12" t="str">
        <f t="shared" si="4"/>
        <v/>
      </c>
      <c r="R64" s="13" t="str">
        <f t="shared" si="5"/>
        <v>_TEF_</v>
      </c>
      <c r="S64" s="13" t="str">
        <f t="shared" si="6"/>
        <v/>
      </c>
      <c r="T64" s="12" t="str">
        <f t="shared" si="7"/>
        <v/>
      </c>
      <c r="U64" s="12" t="str">
        <f t="shared" si="8"/>
        <v/>
      </c>
      <c r="V64" s="12" t="str">
        <f t="shared" si="15"/>
        <v>NO</v>
      </c>
      <c r="W64" s="14" t="str">
        <f t="shared" si="9"/>
        <v/>
      </c>
      <c r="X64" s="14" t="str">
        <f t="shared" si="1"/>
        <v/>
      </c>
      <c r="Y64" s="14" t="str">
        <f t="shared" si="10"/>
        <v/>
      </c>
      <c r="Z64" s="15" t="str">
        <f t="shared" si="11"/>
        <v/>
      </c>
      <c r="AA64" s="342">
        <f t="shared" si="12"/>
        <v>0</v>
      </c>
      <c r="AB64" s="342">
        <f t="shared" si="12"/>
        <v>0</v>
      </c>
      <c r="AC64" s="342">
        <f t="shared" si="13"/>
        <v>0</v>
      </c>
      <c r="AD64" s="342">
        <f t="shared" si="14"/>
        <v>0</v>
      </c>
    </row>
    <row r="65" spans="1:30" ht="12.75" customHeight="1" x14ac:dyDescent="0.2">
      <c r="A65" s="71">
        <v>47</v>
      </c>
      <c r="B65" s="17"/>
      <c r="C65" s="17"/>
      <c r="D65" s="17"/>
      <c r="E65" s="497"/>
      <c r="F65" s="497"/>
      <c r="G65" s="497"/>
      <c r="H65" s="497"/>
      <c r="I65" s="73"/>
      <c r="J65" s="492"/>
      <c r="K65" s="493" t="str">
        <f>IFERROR(VLOOKUP($R65,FeeLookup!$J$5:$L$33,2,FALSE),"")</f>
        <v/>
      </c>
      <c r="L65" s="493" t="str">
        <f>IFERROR(VLOOKUP($R65,FeeLookup!$J$5:$L$33,3,FALSE),"")</f>
        <v/>
      </c>
      <c r="M65" s="413" t="s">
        <v>65</v>
      </c>
      <c r="N65" s="414">
        <v>47</v>
      </c>
      <c r="O65" s="4"/>
      <c r="P65" s="12" t="str">
        <f t="shared" si="3"/>
        <v>TEF</v>
      </c>
      <c r="Q65" s="12" t="str">
        <f t="shared" si="4"/>
        <v/>
      </c>
      <c r="R65" s="13" t="str">
        <f t="shared" si="5"/>
        <v>_TEF_</v>
      </c>
      <c r="S65" s="13" t="str">
        <f t="shared" si="6"/>
        <v/>
      </c>
      <c r="T65" s="12" t="str">
        <f t="shared" si="7"/>
        <v/>
      </c>
      <c r="U65" s="12" t="str">
        <f t="shared" si="8"/>
        <v/>
      </c>
      <c r="V65" s="12" t="str">
        <f t="shared" si="15"/>
        <v>NO</v>
      </c>
      <c r="W65" s="14" t="str">
        <f t="shared" si="9"/>
        <v/>
      </c>
      <c r="X65" s="14" t="str">
        <f t="shared" si="1"/>
        <v/>
      </c>
      <c r="Y65" s="14" t="str">
        <f t="shared" si="10"/>
        <v/>
      </c>
      <c r="Z65" s="15" t="str">
        <f t="shared" si="11"/>
        <v/>
      </c>
      <c r="AA65" s="342">
        <f t="shared" si="12"/>
        <v>0</v>
      </c>
      <c r="AB65" s="342">
        <f t="shared" si="12"/>
        <v>0</v>
      </c>
      <c r="AC65" s="342">
        <f t="shared" si="13"/>
        <v>0</v>
      </c>
      <c r="AD65" s="342">
        <f t="shared" si="14"/>
        <v>0</v>
      </c>
    </row>
    <row r="66" spans="1:30" ht="12.75" customHeight="1" x14ac:dyDescent="0.2">
      <c r="A66" s="71">
        <v>48</v>
      </c>
      <c r="B66" s="17"/>
      <c r="C66" s="17"/>
      <c r="D66" s="17"/>
      <c r="E66" s="497"/>
      <c r="F66" s="497"/>
      <c r="G66" s="497"/>
      <c r="H66" s="497"/>
      <c r="I66" s="73"/>
      <c r="J66" s="492"/>
      <c r="K66" s="493" t="str">
        <f>IFERROR(VLOOKUP($R66,FeeLookup!$J$5:$L$33,2,FALSE),"")</f>
        <v/>
      </c>
      <c r="L66" s="493" t="str">
        <f>IFERROR(VLOOKUP($R66,FeeLookup!$J$5:$L$33,3,FALSE),"")</f>
        <v/>
      </c>
      <c r="M66" s="413" t="s">
        <v>65</v>
      </c>
      <c r="N66" s="414">
        <v>48</v>
      </c>
      <c r="O66" s="4"/>
      <c r="P66" s="12" t="str">
        <f t="shared" si="3"/>
        <v>TEF</v>
      </c>
      <c r="Q66" s="12" t="str">
        <f t="shared" si="4"/>
        <v/>
      </c>
      <c r="R66" s="13" t="str">
        <f t="shared" si="5"/>
        <v>_TEF_</v>
      </c>
      <c r="S66" s="13" t="str">
        <f t="shared" si="6"/>
        <v/>
      </c>
      <c r="T66" s="12" t="str">
        <f t="shared" si="7"/>
        <v/>
      </c>
      <c r="U66" s="12" t="str">
        <f t="shared" si="8"/>
        <v/>
      </c>
      <c r="V66" s="12" t="str">
        <f t="shared" si="15"/>
        <v>NO</v>
      </c>
      <c r="W66" s="14" t="str">
        <f t="shared" si="9"/>
        <v/>
      </c>
      <c r="X66" s="14" t="str">
        <f t="shared" si="1"/>
        <v/>
      </c>
      <c r="Y66" s="14" t="str">
        <f t="shared" si="10"/>
        <v/>
      </c>
      <c r="Z66" s="15" t="str">
        <f t="shared" si="11"/>
        <v/>
      </c>
      <c r="AA66" s="342">
        <f t="shared" si="12"/>
        <v>0</v>
      </c>
      <c r="AB66" s="342">
        <f t="shared" si="12"/>
        <v>0</v>
      </c>
      <c r="AC66" s="342">
        <f t="shared" si="13"/>
        <v>0</v>
      </c>
      <c r="AD66" s="342">
        <f t="shared" si="14"/>
        <v>0</v>
      </c>
    </row>
    <row r="67" spans="1:30" ht="12.75" customHeight="1" x14ac:dyDescent="0.2">
      <c r="A67" s="71">
        <v>49</v>
      </c>
      <c r="B67" s="17"/>
      <c r="C67" s="17"/>
      <c r="D67" s="17"/>
      <c r="E67" s="497"/>
      <c r="F67" s="497"/>
      <c r="G67" s="497"/>
      <c r="H67" s="497"/>
      <c r="I67" s="73"/>
      <c r="J67" s="492"/>
      <c r="K67" s="493" t="str">
        <f>IFERROR(VLOOKUP($R67,FeeLookup!$J$5:$L$33,2,FALSE),"")</f>
        <v/>
      </c>
      <c r="L67" s="493" t="str">
        <f>IFERROR(VLOOKUP($R67,FeeLookup!$J$5:$L$33,3,FALSE),"")</f>
        <v/>
      </c>
      <c r="M67" s="413" t="s">
        <v>65</v>
      </c>
      <c r="N67" s="414">
        <v>49</v>
      </c>
      <c r="O67" s="4"/>
      <c r="P67" s="12" t="str">
        <f t="shared" si="3"/>
        <v>TEF</v>
      </c>
      <c r="Q67" s="12" t="str">
        <f t="shared" si="4"/>
        <v/>
      </c>
      <c r="R67" s="13" t="str">
        <f t="shared" si="5"/>
        <v>_TEF_</v>
      </c>
      <c r="S67" s="13" t="str">
        <f t="shared" si="6"/>
        <v/>
      </c>
      <c r="T67" s="12" t="str">
        <f t="shared" si="7"/>
        <v/>
      </c>
      <c r="U67" s="12" t="str">
        <f t="shared" si="8"/>
        <v/>
      </c>
      <c r="V67" s="12" t="str">
        <f t="shared" si="15"/>
        <v>NO</v>
      </c>
      <c r="W67" s="14" t="str">
        <f t="shared" si="9"/>
        <v/>
      </c>
      <c r="X67" s="14" t="str">
        <f t="shared" si="1"/>
        <v/>
      </c>
      <c r="Y67" s="14" t="str">
        <f t="shared" si="10"/>
        <v/>
      </c>
      <c r="Z67" s="15" t="str">
        <f t="shared" si="11"/>
        <v/>
      </c>
      <c r="AA67" s="342">
        <f t="shared" si="12"/>
        <v>0</v>
      </c>
      <c r="AB67" s="342">
        <f t="shared" si="12"/>
        <v>0</v>
      </c>
      <c r="AC67" s="342">
        <f t="shared" si="13"/>
        <v>0</v>
      </c>
      <c r="AD67" s="342">
        <f t="shared" si="14"/>
        <v>0</v>
      </c>
    </row>
    <row r="68" spans="1:30" ht="12.75" customHeight="1" x14ac:dyDescent="0.2">
      <c r="A68" s="71">
        <v>50</v>
      </c>
      <c r="B68" s="17"/>
      <c r="C68" s="17"/>
      <c r="D68" s="17"/>
      <c r="E68" s="497"/>
      <c r="F68" s="497"/>
      <c r="G68" s="497"/>
      <c r="H68" s="497"/>
      <c r="I68" s="73"/>
      <c r="J68" s="492"/>
      <c r="K68" s="493" t="str">
        <f>IFERROR(VLOOKUP($R68,FeeLookup!$J$5:$L$33,2,FALSE),"")</f>
        <v/>
      </c>
      <c r="L68" s="493" t="str">
        <f>IFERROR(VLOOKUP($R68,FeeLookup!$J$5:$L$33,3,FALSE),"")</f>
        <v/>
      </c>
      <c r="M68" s="413" t="s">
        <v>65</v>
      </c>
      <c r="N68" s="414">
        <v>50</v>
      </c>
      <c r="O68" s="4"/>
      <c r="P68" s="12" t="str">
        <f t="shared" si="3"/>
        <v>TEF</v>
      </c>
      <c r="Q68" s="12" t="str">
        <f t="shared" si="4"/>
        <v/>
      </c>
      <c r="R68" s="13" t="str">
        <f t="shared" si="5"/>
        <v>_TEF_</v>
      </c>
      <c r="S68" s="13" t="str">
        <f t="shared" si="6"/>
        <v/>
      </c>
      <c r="T68" s="12" t="str">
        <f t="shared" si="7"/>
        <v/>
      </c>
      <c r="U68" s="12" t="str">
        <f t="shared" si="8"/>
        <v/>
      </c>
      <c r="V68" s="12" t="str">
        <f t="shared" si="15"/>
        <v>NO</v>
      </c>
      <c r="W68" s="14" t="str">
        <f t="shared" si="9"/>
        <v/>
      </c>
      <c r="X68" s="14" t="str">
        <f t="shared" si="1"/>
        <v/>
      </c>
      <c r="Y68" s="14" t="str">
        <f t="shared" si="10"/>
        <v/>
      </c>
      <c r="Z68" s="15" t="str">
        <f t="shared" si="11"/>
        <v/>
      </c>
      <c r="AA68" s="342">
        <f t="shared" si="12"/>
        <v>0</v>
      </c>
      <c r="AB68" s="342">
        <f t="shared" si="12"/>
        <v>0</v>
      </c>
      <c r="AC68" s="342">
        <f t="shared" si="13"/>
        <v>0</v>
      </c>
      <c r="AD68" s="342">
        <f t="shared" si="14"/>
        <v>0</v>
      </c>
    </row>
    <row r="69" spans="1:30" ht="12.75" customHeight="1" x14ac:dyDescent="0.2">
      <c r="A69" s="71">
        <v>51</v>
      </c>
      <c r="B69" s="17"/>
      <c r="C69" s="17"/>
      <c r="D69" s="17"/>
      <c r="E69" s="497"/>
      <c r="F69" s="497"/>
      <c r="G69" s="497"/>
      <c r="H69" s="497"/>
      <c r="I69" s="73"/>
      <c r="J69" s="492"/>
      <c r="K69" s="493" t="str">
        <f>IFERROR(VLOOKUP($R69,FeeLookup!$J$5:$L$33,2,FALSE),"")</f>
        <v/>
      </c>
      <c r="L69" s="493" t="str">
        <f>IFERROR(VLOOKUP($R69,FeeLookup!$J$5:$L$33,3,FALSE),"")</f>
        <v/>
      </c>
      <c r="M69" s="413" t="s">
        <v>65</v>
      </c>
      <c r="N69" s="414">
        <v>51</v>
      </c>
      <c r="O69" s="4"/>
      <c r="P69" s="12" t="str">
        <f t="shared" si="3"/>
        <v>TEF</v>
      </c>
      <c r="Q69" s="12" t="str">
        <f t="shared" si="4"/>
        <v/>
      </c>
      <c r="R69" s="13" t="str">
        <f t="shared" si="5"/>
        <v>_TEF_</v>
      </c>
      <c r="S69" s="13" t="str">
        <f t="shared" si="6"/>
        <v/>
      </c>
      <c r="T69" s="12" t="str">
        <f t="shared" si="7"/>
        <v/>
      </c>
      <c r="U69" s="12" t="str">
        <f t="shared" si="8"/>
        <v/>
      </c>
      <c r="V69" s="12" t="str">
        <f t="shared" si="15"/>
        <v>NO</v>
      </c>
      <c r="W69" s="14" t="str">
        <f t="shared" si="9"/>
        <v/>
      </c>
      <c r="X69" s="14" t="str">
        <f t="shared" si="1"/>
        <v/>
      </c>
      <c r="Y69" s="14" t="str">
        <f t="shared" si="10"/>
        <v/>
      </c>
      <c r="Z69" s="15" t="str">
        <f t="shared" si="11"/>
        <v/>
      </c>
      <c r="AA69" s="342">
        <f t="shared" si="12"/>
        <v>0</v>
      </c>
      <c r="AB69" s="342">
        <f t="shared" si="12"/>
        <v>0</v>
      </c>
      <c r="AC69" s="342">
        <f t="shared" si="13"/>
        <v>0</v>
      </c>
      <c r="AD69" s="342">
        <f t="shared" si="14"/>
        <v>0</v>
      </c>
    </row>
    <row r="70" spans="1:30" ht="12.75" customHeight="1" x14ac:dyDescent="0.2">
      <c r="A70" s="71">
        <v>52</v>
      </c>
      <c r="B70" s="17"/>
      <c r="C70" s="17"/>
      <c r="D70" s="17"/>
      <c r="E70" s="497"/>
      <c r="F70" s="497"/>
      <c r="G70" s="497"/>
      <c r="H70" s="497"/>
      <c r="I70" s="73"/>
      <c r="J70" s="492"/>
      <c r="K70" s="493" t="str">
        <f>IFERROR(VLOOKUP($R70,FeeLookup!$J$5:$L$33,2,FALSE),"")</f>
        <v/>
      </c>
      <c r="L70" s="493" t="str">
        <f>IFERROR(VLOOKUP($R70,FeeLookup!$J$5:$L$33,3,FALSE),"")</f>
        <v/>
      </c>
      <c r="M70" s="413" t="s">
        <v>65</v>
      </c>
      <c r="N70" s="414">
        <v>52</v>
      </c>
      <c r="O70" s="4"/>
      <c r="P70" s="12" t="str">
        <f t="shared" si="3"/>
        <v>TEF</v>
      </c>
      <c r="Q70" s="12" t="str">
        <f t="shared" si="4"/>
        <v/>
      </c>
      <c r="R70" s="13" t="str">
        <f t="shared" si="5"/>
        <v>_TEF_</v>
      </c>
      <c r="S70" s="13" t="str">
        <f t="shared" si="6"/>
        <v/>
      </c>
      <c r="T70" s="12" t="str">
        <f t="shared" si="7"/>
        <v/>
      </c>
      <c r="U70" s="12" t="str">
        <f t="shared" si="8"/>
        <v/>
      </c>
      <c r="V70" s="12" t="str">
        <f t="shared" si="15"/>
        <v>NO</v>
      </c>
      <c r="W70" s="14" t="str">
        <f t="shared" si="9"/>
        <v/>
      </c>
      <c r="X70" s="14" t="str">
        <f t="shared" si="1"/>
        <v/>
      </c>
      <c r="Y70" s="14" t="str">
        <f t="shared" si="10"/>
        <v/>
      </c>
      <c r="Z70" s="15" t="str">
        <f t="shared" si="11"/>
        <v/>
      </c>
      <c r="AA70" s="342">
        <f t="shared" si="12"/>
        <v>0</v>
      </c>
      <c r="AB70" s="342">
        <f t="shared" si="12"/>
        <v>0</v>
      </c>
      <c r="AC70" s="342">
        <f t="shared" si="13"/>
        <v>0</v>
      </c>
      <c r="AD70" s="342">
        <f t="shared" si="14"/>
        <v>0</v>
      </c>
    </row>
    <row r="71" spans="1:30" ht="12.75" customHeight="1" x14ac:dyDescent="0.2">
      <c r="A71" s="71">
        <v>53</v>
      </c>
      <c r="B71" s="17"/>
      <c r="C71" s="17"/>
      <c r="D71" s="17"/>
      <c r="E71" s="497"/>
      <c r="F71" s="497"/>
      <c r="G71" s="497"/>
      <c r="H71" s="497"/>
      <c r="I71" s="73"/>
      <c r="J71" s="492"/>
      <c r="K71" s="493" t="str">
        <f>IFERROR(VLOOKUP($R71,FeeLookup!$J$5:$L$33,2,FALSE),"")</f>
        <v/>
      </c>
      <c r="L71" s="493" t="str">
        <f>IFERROR(VLOOKUP($R71,FeeLookup!$J$5:$L$33,3,FALSE),"")</f>
        <v/>
      </c>
      <c r="M71" s="413" t="s">
        <v>65</v>
      </c>
      <c r="N71" s="414">
        <v>53</v>
      </c>
      <c r="O71" s="4"/>
      <c r="P71" s="12" t="str">
        <f t="shared" si="3"/>
        <v>TEF</v>
      </c>
      <c r="Q71" s="12" t="str">
        <f t="shared" si="4"/>
        <v/>
      </c>
      <c r="R71" s="13" t="str">
        <f t="shared" si="5"/>
        <v>_TEF_</v>
      </c>
      <c r="S71" s="13" t="str">
        <f t="shared" si="6"/>
        <v/>
      </c>
      <c r="T71" s="12" t="str">
        <f t="shared" si="7"/>
        <v/>
      </c>
      <c r="U71" s="12" t="str">
        <f t="shared" si="8"/>
        <v/>
      </c>
      <c r="V71" s="12" t="str">
        <f t="shared" si="15"/>
        <v>NO</v>
      </c>
      <c r="W71" s="14" t="str">
        <f t="shared" si="9"/>
        <v/>
      </c>
      <c r="X71" s="14" t="str">
        <f t="shared" si="1"/>
        <v/>
      </c>
      <c r="Y71" s="14" t="str">
        <f t="shared" si="10"/>
        <v/>
      </c>
      <c r="Z71" s="15" t="str">
        <f t="shared" si="11"/>
        <v/>
      </c>
      <c r="AA71" s="342">
        <f t="shared" si="12"/>
        <v>0</v>
      </c>
      <c r="AB71" s="342">
        <f t="shared" si="12"/>
        <v>0</v>
      </c>
      <c r="AC71" s="342">
        <f t="shared" si="13"/>
        <v>0</v>
      </c>
      <c r="AD71" s="342">
        <f t="shared" si="14"/>
        <v>0</v>
      </c>
    </row>
    <row r="72" spans="1:30" ht="12.75" customHeight="1" x14ac:dyDescent="0.2">
      <c r="A72" s="71">
        <v>54</v>
      </c>
      <c r="B72" s="17"/>
      <c r="C72" s="17"/>
      <c r="D72" s="17"/>
      <c r="E72" s="497"/>
      <c r="F72" s="497"/>
      <c r="G72" s="497"/>
      <c r="H72" s="497"/>
      <c r="I72" s="73"/>
      <c r="J72" s="492"/>
      <c r="K72" s="493" t="str">
        <f>IFERROR(VLOOKUP($R72,FeeLookup!$J$5:$L$33,2,FALSE),"")</f>
        <v/>
      </c>
      <c r="L72" s="493" t="str">
        <f>IFERROR(VLOOKUP($R72,FeeLookup!$J$5:$L$33,3,FALSE),"")</f>
        <v/>
      </c>
      <c r="M72" s="413" t="s">
        <v>65</v>
      </c>
      <c r="N72" s="414">
        <v>54</v>
      </c>
      <c r="O72" s="4"/>
      <c r="P72" s="12" t="str">
        <f t="shared" si="3"/>
        <v>TEF</v>
      </c>
      <c r="Q72" s="12" t="str">
        <f t="shared" si="4"/>
        <v/>
      </c>
      <c r="R72" s="13" t="str">
        <f t="shared" si="5"/>
        <v>_TEF_</v>
      </c>
      <c r="S72" s="13" t="str">
        <f t="shared" si="6"/>
        <v/>
      </c>
      <c r="T72" s="12" t="str">
        <f t="shared" si="7"/>
        <v/>
      </c>
      <c r="U72" s="12" t="str">
        <f t="shared" si="8"/>
        <v/>
      </c>
      <c r="V72" s="12" t="str">
        <f t="shared" si="15"/>
        <v>NO</v>
      </c>
      <c r="W72" s="14" t="str">
        <f t="shared" si="9"/>
        <v/>
      </c>
      <c r="X72" s="14" t="str">
        <f t="shared" si="1"/>
        <v/>
      </c>
      <c r="Y72" s="14" t="str">
        <f t="shared" si="10"/>
        <v/>
      </c>
      <c r="Z72" s="15" t="str">
        <f t="shared" si="11"/>
        <v/>
      </c>
      <c r="AA72" s="342">
        <f t="shared" si="12"/>
        <v>0</v>
      </c>
      <c r="AB72" s="342">
        <f t="shared" si="12"/>
        <v>0</v>
      </c>
      <c r="AC72" s="342">
        <f t="shared" si="13"/>
        <v>0</v>
      </c>
      <c r="AD72" s="342">
        <f t="shared" si="14"/>
        <v>0</v>
      </c>
    </row>
    <row r="73" spans="1:30" ht="12.75" customHeight="1" x14ac:dyDescent="0.2">
      <c r="A73" s="71">
        <v>55</v>
      </c>
      <c r="B73" s="17"/>
      <c r="C73" s="17"/>
      <c r="D73" s="17"/>
      <c r="E73" s="497"/>
      <c r="F73" s="497"/>
      <c r="G73" s="497"/>
      <c r="H73" s="497"/>
      <c r="I73" s="73"/>
      <c r="J73" s="492"/>
      <c r="K73" s="493" t="str">
        <f>IFERROR(VLOOKUP($R73,FeeLookup!$J$5:$L$33,2,FALSE),"")</f>
        <v/>
      </c>
      <c r="L73" s="493" t="str">
        <f>IFERROR(VLOOKUP($R73,FeeLookup!$J$5:$L$33,3,FALSE),"")</f>
        <v/>
      </c>
      <c r="M73" s="413" t="s">
        <v>65</v>
      </c>
      <c r="N73" s="414">
        <v>55</v>
      </c>
      <c r="O73" s="4"/>
      <c r="P73" s="12" t="str">
        <f t="shared" si="3"/>
        <v>TEF</v>
      </c>
      <c r="Q73" s="12" t="str">
        <f t="shared" si="4"/>
        <v/>
      </c>
      <c r="R73" s="13" t="str">
        <f t="shared" si="5"/>
        <v>_TEF_</v>
      </c>
      <c r="S73" s="13" t="str">
        <f t="shared" si="6"/>
        <v/>
      </c>
      <c r="T73" s="12" t="str">
        <f t="shared" si="7"/>
        <v/>
      </c>
      <c r="U73" s="12" t="str">
        <f t="shared" si="8"/>
        <v/>
      </c>
      <c r="V73" s="12" t="str">
        <f t="shared" si="15"/>
        <v>NO</v>
      </c>
      <c r="W73" s="14" t="str">
        <f t="shared" si="9"/>
        <v/>
      </c>
      <c r="X73" s="14" t="str">
        <f t="shared" si="1"/>
        <v/>
      </c>
      <c r="Y73" s="14" t="str">
        <f t="shared" si="10"/>
        <v/>
      </c>
      <c r="Z73" s="15" t="str">
        <f t="shared" si="11"/>
        <v/>
      </c>
      <c r="AA73" s="342">
        <f t="shared" si="12"/>
        <v>0</v>
      </c>
      <c r="AB73" s="342">
        <f t="shared" si="12"/>
        <v>0</v>
      </c>
      <c r="AC73" s="342">
        <f t="shared" si="13"/>
        <v>0</v>
      </c>
      <c r="AD73" s="342">
        <f t="shared" si="14"/>
        <v>0</v>
      </c>
    </row>
    <row r="74" spans="1:30" ht="12.75" customHeight="1" x14ac:dyDescent="0.2">
      <c r="A74" s="71">
        <v>56</v>
      </c>
      <c r="B74" s="17"/>
      <c r="C74" s="17"/>
      <c r="D74" s="17"/>
      <c r="E74" s="497"/>
      <c r="F74" s="497"/>
      <c r="G74" s="497"/>
      <c r="H74" s="497"/>
      <c r="I74" s="73"/>
      <c r="J74" s="492"/>
      <c r="K74" s="493" t="str">
        <f>IFERROR(VLOOKUP($R74,FeeLookup!$J$5:$L$33,2,FALSE),"")</f>
        <v/>
      </c>
      <c r="L74" s="493" t="str">
        <f>IFERROR(VLOOKUP($R74,FeeLookup!$J$5:$L$33,3,FALSE),"")</f>
        <v/>
      </c>
      <c r="M74" s="413" t="s">
        <v>65</v>
      </c>
      <c r="N74" s="414">
        <v>56</v>
      </c>
      <c r="O74" s="4"/>
      <c r="P74" s="12" t="str">
        <f t="shared" si="3"/>
        <v>TEF</v>
      </c>
      <c r="Q74" s="12" t="str">
        <f t="shared" si="4"/>
        <v/>
      </c>
      <c r="R74" s="13" t="str">
        <f t="shared" si="5"/>
        <v>_TEF_</v>
      </c>
      <c r="S74" s="13" t="str">
        <f t="shared" si="6"/>
        <v/>
      </c>
      <c r="T74" s="12" t="str">
        <f t="shared" si="7"/>
        <v/>
      </c>
      <c r="U74" s="12" t="str">
        <f t="shared" si="8"/>
        <v/>
      </c>
      <c r="V74" s="12" t="str">
        <f t="shared" si="15"/>
        <v>NO</v>
      </c>
      <c r="W74" s="14" t="str">
        <f t="shared" si="9"/>
        <v/>
      </c>
      <c r="X74" s="14" t="str">
        <f t="shared" si="1"/>
        <v/>
      </c>
      <c r="Y74" s="14" t="str">
        <f t="shared" si="10"/>
        <v/>
      </c>
      <c r="Z74" s="15" t="str">
        <f t="shared" si="11"/>
        <v/>
      </c>
      <c r="AA74" s="342">
        <f t="shared" si="12"/>
        <v>0</v>
      </c>
      <c r="AB74" s="342">
        <f t="shared" si="12"/>
        <v>0</v>
      </c>
      <c r="AC74" s="342">
        <f t="shared" si="13"/>
        <v>0</v>
      </c>
      <c r="AD74" s="342">
        <f t="shared" si="14"/>
        <v>0</v>
      </c>
    </row>
    <row r="75" spans="1:30" ht="12.75" customHeight="1" x14ac:dyDescent="0.2">
      <c r="A75" s="71">
        <v>57</v>
      </c>
      <c r="B75" s="17"/>
      <c r="C75" s="17"/>
      <c r="D75" s="17"/>
      <c r="E75" s="497"/>
      <c r="F75" s="497"/>
      <c r="G75" s="497"/>
      <c r="H75" s="497"/>
      <c r="I75" s="73"/>
      <c r="J75" s="492"/>
      <c r="K75" s="493" t="str">
        <f>IFERROR(VLOOKUP($R75,FeeLookup!$J$5:$L$33,2,FALSE),"")</f>
        <v/>
      </c>
      <c r="L75" s="493" t="str">
        <f>IFERROR(VLOOKUP($R75,FeeLookup!$J$5:$L$33,3,FALSE),"")</f>
        <v/>
      </c>
      <c r="M75" s="413" t="s">
        <v>65</v>
      </c>
      <c r="N75" s="414">
        <v>57</v>
      </c>
      <c r="O75" s="4"/>
      <c r="P75" s="12" t="str">
        <f t="shared" si="3"/>
        <v>TEF</v>
      </c>
      <c r="Q75" s="12" t="str">
        <f t="shared" si="4"/>
        <v/>
      </c>
      <c r="R75" s="13" t="str">
        <f t="shared" si="5"/>
        <v>_TEF_</v>
      </c>
      <c r="S75" s="13" t="str">
        <f t="shared" si="6"/>
        <v/>
      </c>
      <c r="T75" s="12" t="str">
        <f t="shared" si="7"/>
        <v/>
      </c>
      <c r="U75" s="12" t="str">
        <f t="shared" si="8"/>
        <v/>
      </c>
      <c r="V75" s="12" t="str">
        <f t="shared" si="15"/>
        <v>NO</v>
      </c>
      <c r="W75" s="14" t="str">
        <f t="shared" si="9"/>
        <v/>
      </c>
      <c r="X75" s="14" t="str">
        <f t="shared" si="1"/>
        <v/>
      </c>
      <c r="Y75" s="14" t="str">
        <f t="shared" si="10"/>
        <v/>
      </c>
      <c r="Z75" s="15" t="str">
        <f t="shared" si="11"/>
        <v/>
      </c>
      <c r="AA75" s="342">
        <f t="shared" si="12"/>
        <v>0</v>
      </c>
      <c r="AB75" s="342">
        <f t="shared" si="12"/>
        <v>0</v>
      </c>
      <c r="AC75" s="342">
        <f t="shared" si="13"/>
        <v>0</v>
      </c>
      <c r="AD75" s="342">
        <f t="shared" si="14"/>
        <v>0</v>
      </c>
    </row>
    <row r="76" spans="1:30" ht="12.75" customHeight="1" x14ac:dyDescent="0.2">
      <c r="A76" s="71">
        <v>58</v>
      </c>
      <c r="B76" s="17"/>
      <c r="C76" s="17"/>
      <c r="D76" s="17"/>
      <c r="E76" s="497"/>
      <c r="F76" s="497"/>
      <c r="G76" s="497"/>
      <c r="H76" s="497"/>
      <c r="I76" s="73"/>
      <c r="J76" s="492"/>
      <c r="K76" s="493" t="str">
        <f>IFERROR(VLOOKUP($R76,FeeLookup!$J$5:$L$33,2,FALSE),"")</f>
        <v/>
      </c>
      <c r="L76" s="493" t="str">
        <f>IFERROR(VLOOKUP($R76,FeeLookup!$J$5:$L$33,3,FALSE),"")</f>
        <v/>
      </c>
      <c r="M76" s="413" t="s">
        <v>65</v>
      </c>
      <c r="N76" s="414">
        <v>58</v>
      </c>
      <c r="O76" s="4"/>
      <c r="P76" s="12" t="str">
        <f t="shared" si="3"/>
        <v>TEF</v>
      </c>
      <c r="Q76" s="12" t="str">
        <f t="shared" si="4"/>
        <v/>
      </c>
      <c r="R76" s="13" t="str">
        <f t="shared" si="5"/>
        <v>_TEF_</v>
      </c>
      <c r="S76" s="13" t="str">
        <f t="shared" si="6"/>
        <v/>
      </c>
      <c r="T76" s="12" t="str">
        <f t="shared" si="7"/>
        <v/>
      </c>
      <c r="U76" s="12" t="str">
        <f t="shared" si="8"/>
        <v/>
      </c>
      <c r="V76" s="12" t="str">
        <f t="shared" si="15"/>
        <v>NO</v>
      </c>
      <c r="W76" s="14" t="str">
        <f t="shared" si="9"/>
        <v/>
      </c>
      <c r="X76" s="14" t="str">
        <f t="shared" si="1"/>
        <v/>
      </c>
      <c r="Y76" s="14" t="str">
        <f t="shared" si="10"/>
        <v/>
      </c>
      <c r="Z76" s="15" t="str">
        <f t="shared" si="11"/>
        <v/>
      </c>
      <c r="AA76" s="342">
        <f t="shared" si="12"/>
        <v>0</v>
      </c>
      <c r="AB76" s="342">
        <f t="shared" si="12"/>
        <v>0</v>
      </c>
      <c r="AC76" s="342">
        <f t="shared" si="13"/>
        <v>0</v>
      </c>
      <c r="AD76" s="342">
        <f t="shared" si="14"/>
        <v>0</v>
      </c>
    </row>
    <row r="77" spans="1:30" ht="12.75" customHeight="1" x14ac:dyDescent="0.2">
      <c r="A77" s="71">
        <v>59</v>
      </c>
      <c r="B77" s="17"/>
      <c r="C77" s="17"/>
      <c r="D77" s="17"/>
      <c r="E77" s="497"/>
      <c r="F77" s="497"/>
      <c r="G77" s="497"/>
      <c r="H77" s="497"/>
      <c r="I77" s="73"/>
      <c r="J77" s="492"/>
      <c r="K77" s="493" t="str">
        <f>IFERROR(VLOOKUP($R77,FeeLookup!$J$5:$L$33,2,FALSE),"")</f>
        <v/>
      </c>
      <c r="L77" s="493" t="str">
        <f>IFERROR(VLOOKUP($R77,FeeLookup!$J$5:$L$33,3,FALSE),"")</f>
        <v/>
      </c>
      <c r="M77" s="413" t="s">
        <v>65</v>
      </c>
      <c r="N77" s="414">
        <v>59</v>
      </c>
      <c r="O77" s="4"/>
      <c r="P77" s="12" t="str">
        <f t="shared" si="3"/>
        <v>TEF</v>
      </c>
      <c r="Q77" s="12" t="str">
        <f t="shared" si="4"/>
        <v/>
      </c>
      <c r="R77" s="13" t="str">
        <f t="shared" si="5"/>
        <v>_TEF_</v>
      </c>
      <c r="S77" s="13" t="str">
        <f t="shared" si="6"/>
        <v/>
      </c>
      <c r="T77" s="12" t="str">
        <f t="shared" si="7"/>
        <v/>
      </c>
      <c r="U77" s="12" t="str">
        <f t="shared" si="8"/>
        <v/>
      </c>
      <c r="V77" s="12" t="str">
        <f t="shared" si="15"/>
        <v>NO</v>
      </c>
      <c r="W77" s="14" t="str">
        <f t="shared" si="9"/>
        <v/>
      </c>
      <c r="X77" s="14" t="str">
        <f t="shared" si="1"/>
        <v/>
      </c>
      <c r="Y77" s="14" t="str">
        <f t="shared" si="10"/>
        <v/>
      </c>
      <c r="Z77" s="15" t="str">
        <f t="shared" si="11"/>
        <v/>
      </c>
      <c r="AA77" s="342">
        <f t="shared" si="12"/>
        <v>0</v>
      </c>
      <c r="AB77" s="342">
        <f t="shared" si="12"/>
        <v>0</v>
      </c>
      <c r="AC77" s="342">
        <f t="shared" si="13"/>
        <v>0</v>
      </c>
      <c r="AD77" s="342">
        <f t="shared" si="14"/>
        <v>0</v>
      </c>
    </row>
    <row r="78" spans="1:30" ht="12.75" customHeight="1" x14ac:dyDescent="0.2">
      <c r="A78" s="71">
        <v>60</v>
      </c>
      <c r="B78" s="17"/>
      <c r="C78" s="17"/>
      <c r="D78" s="17"/>
      <c r="E78" s="497"/>
      <c r="F78" s="497"/>
      <c r="G78" s="497"/>
      <c r="H78" s="497"/>
      <c r="I78" s="73"/>
      <c r="J78" s="492"/>
      <c r="K78" s="493" t="str">
        <f>IFERROR(VLOOKUP($R78,FeeLookup!$J$5:$L$33,2,FALSE),"")</f>
        <v/>
      </c>
      <c r="L78" s="493" t="str">
        <f>IFERROR(VLOOKUP($R78,FeeLookup!$J$5:$L$33,3,FALSE),"")</f>
        <v/>
      </c>
      <c r="M78" s="413" t="s">
        <v>65</v>
      </c>
      <c r="N78" s="414">
        <v>60</v>
      </c>
      <c r="O78" s="4"/>
      <c r="P78" s="12" t="str">
        <f t="shared" si="3"/>
        <v>TEF</v>
      </c>
      <c r="Q78" s="12" t="str">
        <f t="shared" si="4"/>
        <v/>
      </c>
      <c r="R78" s="13" t="str">
        <f t="shared" si="5"/>
        <v>_TEF_</v>
      </c>
      <c r="S78" s="13" t="str">
        <f t="shared" si="6"/>
        <v/>
      </c>
      <c r="T78" s="12" t="str">
        <f t="shared" si="7"/>
        <v/>
      </c>
      <c r="U78" s="12" t="str">
        <f t="shared" si="8"/>
        <v/>
      </c>
      <c r="V78" s="12" t="str">
        <f t="shared" si="15"/>
        <v>NO</v>
      </c>
      <c r="W78" s="14" t="str">
        <f t="shared" si="9"/>
        <v/>
      </c>
      <c r="X78" s="14" t="str">
        <f t="shared" si="1"/>
        <v/>
      </c>
      <c r="Y78" s="14" t="str">
        <f t="shared" si="10"/>
        <v/>
      </c>
      <c r="Z78" s="15" t="str">
        <f t="shared" si="11"/>
        <v/>
      </c>
      <c r="AA78" s="342">
        <f t="shared" si="12"/>
        <v>0</v>
      </c>
      <c r="AB78" s="342">
        <f t="shared" si="12"/>
        <v>0</v>
      </c>
      <c r="AC78" s="342">
        <f t="shared" si="13"/>
        <v>0</v>
      </c>
      <c r="AD78" s="342">
        <f t="shared" si="14"/>
        <v>0</v>
      </c>
    </row>
    <row r="79" spans="1:30" ht="12.75" customHeight="1" x14ac:dyDescent="0.2">
      <c r="A79" s="71">
        <v>61</v>
      </c>
      <c r="B79" s="17"/>
      <c r="C79" s="17"/>
      <c r="D79" s="17"/>
      <c r="E79" s="497"/>
      <c r="F79" s="497"/>
      <c r="G79" s="497"/>
      <c r="H79" s="497"/>
      <c r="I79" s="73"/>
      <c r="J79" s="492"/>
      <c r="K79" s="493" t="str">
        <f>IFERROR(VLOOKUP($R79,FeeLookup!$J$5:$L$33,2,FALSE),"")</f>
        <v/>
      </c>
      <c r="L79" s="493" t="str">
        <f>IFERROR(VLOOKUP($R79,FeeLookup!$J$5:$L$33,3,FALSE),"")</f>
        <v/>
      </c>
      <c r="M79" s="413" t="s">
        <v>65</v>
      </c>
      <c r="N79" s="414">
        <v>61</v>
      </c>
      <c r="O79" s="4"/>
      <c r="P79" s="12" t="str">
        <f t="shared" si="3"/>
        <v>TEF</v>
      </c>
      <c r="Q79" s="12" t="str">
        <f t="shared" si="4"/>
        <v/>
      </c>
      <c r="R79" s="13" t="str">
        <f t="shared" si="5"/>
        <v>_TEF_</v>
      </c>
      <c r="S79" s="13" t="str">
        <f t="shared" si="6"/>
        <v/>
      </c>
      <c r="T79" s="12" t="str">
        <f t="shared" si="7"/>
        <v/>
      </c>
      <c r="U79" s="12" t="str">
        <f t="shared" si="8"/>
        <v/>
      </c>
      <c r="V79" s="12" t="str">
        <f t="shared" si="15"/>
        <v>NO</v>
      </c>
      <c r="W79" s="14" t="str">
        <f t="shared" si="9"/>
        <v/>
      </c>
      <c r="X79" s="14" t="str">
        <f t="shared" si="1"/>
        <v/>
      </c>
      <c r="Y79" s="14" t="str">
        <f t="shared" si="10"/>
        <v/>
      </c>
      <c r="Z79" s="15" t="str">
        <f t="shared" si="11"/>
        <v/>
      </c>
      <c r="AA79" s="342">
        <f t="shared" si="12"/>
        <v>0</v>
      </c>
      <c r="AB79" s="342">
        <f t="shared" si="12"/>
        <v>0</v>
      </c>
      <c r="AC79" s="342">
        <f t="shared" si="13"/>
        <v>0</v>
      </c>
      <c r="AD79" s="342">
        <f t="shared" si="14"/>
        <v>0</v>
      </c>
    </row>
    <row r="80" spans="1:30" ht="12.75" customHeight="1" x14ac:dyDescent="0.2">
      <c r="A80" s="71">
        <v>62</v>
      </c>
      <c r="B80" s="17"/>
      <c r="C80" s="17"/>
      <c r="D80" s="17"/>
      <c r="E80" s="497"/>
      <c r="F80" s="497"/>
      <c r="G80" s="497"/>
      <c r="H80" s="497"/>
      <c r="I80" s="73"/>
      <c r="J80" s="492"/>
      <c r="K80" s="493" t="str">
        <f>IFERROR(VLOOKUP($R80,FeeLookup!$J$5:$L$33,2,FALSE),"")</f>
        <v/>
      </c>
      <c r="L80" s="493" t="str">
        <f>IFERROR(VLOOKUP($R80,FeeLookup!$J$5:$L$33,3,FALSE),"")</f>
        <v/>
      </c>
      <c r="M80" s="413" t="s">
        <v>65</v>
      </c>
      <c r="N80" s="414">
        <v>62</v>
      </c>
      <c r="O80" s="4"/>
      <c r="P80" s="12" t="str">
        <f t="shared" si="3"/>
        <v>TEF</v>
      </c>
      <c r="Q80" s="12" t="str">
        <f t="shared" si="4"/>
        <v/>
      </c>
      <c r="R80" s="13" t="str">
        <f t="shared" si="5"/>
        <v>_TEF_</v>
      </c>
      <c r="S80" s="13" t="str">
        <f t="shared" si="6"/>
        <v/>
      </c>
      <c r="T80" s="12" t="str">
        <f t="shared" si="7"/>
        <v/>
      </c>
      <c r="U80" s="12" t="str">
        <f t="shared" si="8"/>
        <v/>
      </c>
      <c r="V80" s="12" t="str">
        <f t="shared" si="15"/>
        <v>NO</v>
      </c>
      <c r="W80" s="14" t="str">
        <f t="shared" si="9"/>
        <v/>
      </c>
      <c r="X80" s="14" t="str">
        <f t="shared" si="1"/>
        <v/>
      </c>
      <c r="Y80" s="14" t="str">
        <f t="shared" si="10"/>
        <v/>
      </c>
      <c r="Z80" s="15" t="str">
        <f t="shared" si="11"/>
        <v/>
      </c>
      <c r="AA80" s="342">
        <f t="shared" si="12"/>
        <v>0</v>
      </c>
      <c r="AB80" s="342">
        <f t="shared" si="12"/>
        <v>0</v>
      </c>
      <c r="AC80" s="342">
        <f t="shared" si="13"/>
        <v>0</v>
      </c>
      <c r="AD80" s="342">
        <f t="shared" si="14"/>
        <v>0</v>
      </c>
    </row>
    <row r="81" spans="1:30" ht="12.75" customHeight="1" x14ac:dyDescent="0.2">
      <c r="A81" s="71">
        <v>63</v>
      </c>
      <c r="B81" s="17"/>
      <c r="C81" s="17"/>
      <c r="D81" s="17"/>
      <c r="E81" s="497"/>
      <c r="F81" s="497"/>
      <c r="G81" s="497"/>
      <c r="H81" s="497"/>
      <c r="I81" s="73"/>
      <c r="J81" s="492"/>
      <c r="K81" s="493" t="str">
        <f>IFERROR(VLOOKUP($R81,FeeLookup!$J$5:$L$33,2,FALSE),"")</f>
        <v/>
      </c>
      <c r="L81" s="493" t="str">
        <f>IFERROR(VLOOKUP($R81,FeeLookup!$J$5:$L$33,3,FALSE),"")</f>
        <v/>
      </c>
      <c r="M81" s="413" t="s">
        <v>65</v>
      </c>
      <c r="N81" s="414">
        <v>63</v>
      </c>
      <c r="O81" s="4"/>
      <c r="P81" s="12" t="str">
        <f t="shared" si="3"/>
        <v>TEF</v>
      </c>
      <c r="Q81" s="12" t="str">
        <f t="shared" si="4"/>
        <v/>
      </c>
      <c r="R81" s="13" t="str">
        <f t="shared" si="5"/>
        <v>_TEF_</v>
      </c>
      <c r="S81" s="13" t="str">
        <f t="shared" si="6"/>
        <v/>
      </c>
      <c r="T81" s="12" t="str">
        <f t="shared" si="7"/>
        <v/>
      </c>
      <c r="U81" s="12" t="str">
        <f t="shared" si="8"/>
        <v/>
      </c>
      <c r="V81" s="12" t="str">
        <f t="shared" si="15"/>
        <v>NO</v>
      </c>
      <c r="W81" s="14" t="str">
        <f t="shared" si="9"/>
        <v/>
      </c>
      <c r="X81" s="14" t="str">
        <f t="shared" si="1"/>
        <v/>
      </c>
      <c r="Y81" s="14" t="str">
        <f t="shared" si="10"/>
        <v/>
      </c>
      <c r="Z81" s="15" t="str">
        <f t="shared" si="11"/>
        <v/>
      </c>
      <c r="AA81" s="342">
        <f t="shared" si="12"/>
        <v>0</v>
      </c>
      <c r="AB81" s="342">
        <f t="shared" si="12"/>
        <v>0</v>
      </c>
      <c r="AC81" s="342">
        <f t="shared" si="13"/>
        <v>0</v>
      </c>
      <c r="AD81" s="342">
        <f t="shared" si="14"/>
        <v>0</v>
      </c>
    </row>
    <row r="82" spans="1:30" ht="12.75" customHeight="1" x14ac:dyDescent="0.2">
      <c r="A82" s="71">
        <v>64</v>
      </c>
      <c r="B82" s="17"/>
      <c r="C82" s="17"/>
      <c r="D82" s="17"/>
      <c r="E82" s="497"/>
      <c r="F82" s="497"/>
      <c r="G82" s="497"/>
      <c r="H82" s="497"/>
      <c r="I82" s="73"/>
      <c r="J82" s="492"/>
      <c r="K82" s="493" t="str">
        <f>IFERROR(VLOOKUP($R82,FeeLookup!$J$5:$L$33,2,FALSE),"")</f>
        <v/>
      </c>
      <c r="L82" s="493" t="str">
        <f>IFERROR(VLOOKUP($R82,FeeLookup!$J$5:$L$33,3,FALSE),"")</f>
        <v/>
      </c>
      <c r="M82" s="413" t="s">
        <v>65</v>
      </c>
      <c r="N82" s="414">
        <v>64</v>
      </c>
      <c r="O82" s="4"/>
      <c r="P82" s="12" t="str">
        <f t="shared" si="3"/>
        <v>TEF</v>
      </c>
      <c r="Q82" s="12" t="str">
        <f t="shared" si="4"/>
        <v/>
      </c>
      <c r="R82" s="13" t="str">
        <f t="shared" si="5"/>
        <v>_TEF_</v>
      </c>
      <c r="S82" s="13" t="str">
        <f t="shared" si="6"/>
        <v/>
      </c>
      <c r="T82" s="12" t="str">
        <f t="shared" si="7"/>
        <v/>
      </c>
      <c r="U82" s="12" t="str">
        <f t="shared" si="8"/>
        <v/>
      </c>
      <c r="V82" s="12" t="str">
        <f t="shared" si="15"/>
        <v>NO</v>
      </c>
      <c r="W82" s="14" t="str">
        <f t="shared" si="9"/>
        <v/>
      </c>
      <c r="X82" s="14" t="str">
        <f t="shared" si="1"/>
        <v/>
      </c>
      <c r="Y82" s="14" t="str">
        <f t="shared" si="10"/>
        <v/>
      </c>
      <c r="Z82" s="15" t="str">
        <f t="shared" si="11"/>
        <v/>
      </c>
      <c r="AA82" s="342">
        <f t="shared" si="12"/>
        <v>0</v>
      </c>
      <c r="AB82" s="342">
        <f t="shared" si="12"/>
        <v>0</v>
      </c>
      <c r="AC82" s="342">
        <f t="shared" si="13"/>
        <v>0</v>
      </c>
      <c r="AD82" s="342">
        <f t="shared" si="14"/>
        <v>0</v>
      </c>
    </row>
    <row r="83" spans="1:30" ht="12.75" customHeight="1" x14ac:dyDescent="0.2">
      <c r="A83" s="71">
        <v>65</v>
      </c>
      <c r="B83" s="17"/>
      <c r="C83" s="17"/>
      <c r="D83" s="17"/>
      <c r="E83" s="497"/>
      <c r="F83" s="497"/>
      <c r="G83" s="497"/>
      <c r="H83" s="497"/>
      <c r="I83" s="73"/>
      <c r="J83" s="492"/>
      <c r="K83" s="493" t="str">
        <f>IFERROR(VLOOKUP($R83,FeeLookup!$J$5:$L$33,2,FALSE),"")</f>
        <v/>
      </c>
      <c r="L83" s="493" t="str">
        <f>IFERROR(VLOOKUP($R83,FeeLookup!$J$5:$L$33,3,FALSE),"")</f>
        <v/>
      </c>
      <c r="M83" s="413" t="s">
        <v>65</v>
      </c>
      <c r="N83" s="414">
        <v>65</v>
      </c>
      <c r="O83" s="4"/>
      <c r="P83" s="12" t="str">
        <f t="shared" si="3"/>
        <v>TEF</v>
      </c>
      <c r="Q83" s="12" t="str">
        <f t="shared" si="4"/>
        <v/>
      </c>
      <c r="R83" s="13" t="str">
        <f t="shared" si="5"/>
        <v>_TEF_</v>
      </c>
      <c r="S83" s="13" t="str">
        <f t="shared" si="6"/>
        <v/>
      </c>
      <c r="T83" s="12" t="str">
        <f t="shared" si="7"/>
        <v/>
      </c>
      <c r="U83" s="12" t="str">
        <f t="shared" si="8"/>
        <v/>
      </c>
      <c r="V83" s="12" t="str">
        <f t="shared" ref="V83:V114" si="16">IF(COUNTBLANK(B83:J83)=9,"NO","YES")</f>
        <v>NO</v>
      </c>
      <c r="W83" s="14" t="str">
        <f t="shared" si="9"/>
        <v/>
      </c>
      <c r="X83" s="14" t="str">
        <f t="shared" ref="X83:X146" si="17">IF(V83="NO","",IF(SUM(E83:H83)&gt;0,"YES","NO"))</f>
        <v/>
      </c>
      <c r="Y83" s="14" t="str">
        <f t="shared" si="10"/>
        <v/>
      </c>
      <c r="Z83" s="15" t="str">
        <f t="shared" si="11"/>
        <v/>
      </c>
      <c r="AA83" s="342">
        <f t="shared" si="12"/>
        <v>0</v>
      </c>
      <c r="AB83" s="342">
        <f t="shared" si="12"/>
        <v>0</v>
      </c>
      <c r="AC83" s="342">
        <f t="shared" si="13"/>
        <v>0</v>
      </c>
      <c r="AD83" s="342">
        <f t="shared" si="14"/>
        <v>0</v>
      </c>
    </row>
    <row r="84" spans="1:30" ht="12.75" customHeight="1" x14ac:dyDescent="0.2">
      <c r="A84" s="71">
        <v>66</v>
      </c>
      <c r="B84" s="17"/>
      <c r="C84" s="17"/>
      <c r="D84" s="17"/>
      <c r="E84" s="497"/>
      <c r="F84" s="497"/>
      <c r="G84" s="497"/>
      <c r="H84" s="497"/>
      <c r="I84" s="73"/>
      <c r="J84" s="492"/>
      <c r="K84" s="493" t="str">
        <f>IFERROR(VLOOKUP($R84,FeeLookup!$J$5:$L$33,2,FALSE),"")</f>
        <v/>
      </c>
      <c r="L84" s="493" t="str">
        <f>IFERROR(VLOOKUP($R84,FeeLookup!$J$5:$L$33,3,FALSE),"")</f>
        <v/>
      </c>
      <c r="M84" s="413" t="s">
        <v>65</v>
      </c>
      <c r="N84" s="414">
        <v>66</v>
      </c>
      <c r="O84" s="4"/>
      <c r="P84" s="12" t="str">
        <f t="shared" ref="P84:P147" si="18">IF($A$4="Expected TEF year 3 status: We hold or have applied for a TEF award for 2019-20.","TEF","No TEF")</f>
        <v>TEF</v>
      </c>
      <c r="Q84" s="12" t="str">
        <f t="shared" ref="Q84:Q147" si="19">IF(B84="","",IF(B84="Erasmus and overseas study years","LOWER",IF(B84="Sandwich year","SAND",IF(B84="Accelerated Degree","ACCEL","FULL"))))</f>
        <v/>
      </c>
      <c r="R84" s="13" t="str">
        <f t="shared" ref="R84:R147" si="20">CONCATENATE(Q84,IF(P84="No TEF","_NO_TEF_",IF(P84="TEF","_TEF_","")))</f>
        <v>_TEF_</v>
      </c>
      <c r="S84" s="13" t="str">
        <f t="shared" ref="S84:S147" si="21">IF(K84="","",IF(J84="","0",J84))</f>
        <v/>
      </c>
      <c r="T84" s="12" t="str">
        <f t="shared" ref="T84:T147" si="22">IF(K84="","",IF((J84-K84)&gt;0,"YES","NO"))</f>
        <v/>
      </c>
      <c r="U84" s="12" t="str">
        <f t="shared" ref="U84:U147" si="23">IF(J84="","",IF(J84&lt;K84,"BBFC",IF(J84&gt;L84,"AHFC","BBHFC")))</f>
        <v/>
      </c>
      <c r="V84" s="12" t="str">
        <f t="shared" si="16"/>
        <v>NO</v>
      </c>
      <c r="W84" s="14" t="str">
        <f t="shared" ref="W84:W147" si="24">IF(V84="NO","",IF(AND(COUNTBLANK(B84:C84)=0,COUNTBLANK(J84)=0, COUNTBLANK(I84)=0,COUNTBLANK(E84:H84)&lt;&gt;4),"YES","NO"))</f>
        <v/>
      </c>
      <c r="X84" s="14" t="str">
        <f t="shared" si="17"/>
        <v/>
      </c>
      <c r="Y84" s="14" t="str">
        <f t="shared" ref="Y84:Y147" si="25">IF(OR(W84="NO",X84="NO",U84="AHFC"),"FLAG","")</f>
        <v/>
      </c>
      <c r="Z84" s="15" t="str">
        <f t="shared" ref="Z84:Z147" si="26">IF(OR(J84="",W84=""),"",IF(J84-K84&lt;0,0,J84-K84))</f>
        <v/>
      </c>
      <c r="AA84" s="342">
        <f t="shared" ref="AA84:AB147" si="27">IF(IF(ISERROR($J84-$K84)=TRUE,0,$J84-$K84)&gt;0,E84,0)</f>
        <v>0</v>
      </c>
      <c r="AB84" s="342">
        <f t="shared" si="27"/>
        <v>0</v>
      </c>
      <c r="AC84" s="342">
        <f t="shared" si="13"/>
        <v>0</v>
      </c>
      <c r="AD84" s="342">
        <f t="shared" si="14"/>
        <v>0</v>
      </c>
    </row>
    <row r="85" spans="1:30" ht="12.75" customHeight="1" x14ac:dyDescent="0.2">
      <c r="A85" s="71">
        <v>67</v>
      </c>
      <c r="B85" s="17"/>
      <c r="C85" s="17"/>
      <c r="D85" s="17"/>
      <c r="E85" s="497"/>
      <c r="F85" s="497"/>
      <c r="G85" s="497"/>
      <c r="H85" s="497"/>
      <c r="I85" s="73"/>
      <c r="J85" s="492"/>
      <c r="K85" s="493" t="str">
        <f>IFERROR(VLOOKUP($R85,FeeLookup!$J$5:$L$33,2,FALSE),"")</f>
        <v/>
      </c>
      <c r="L85" s="493" t="str">
        <f>IFERROR(VLOOKUP($R85,FeeLookup!$J$5:$L$33,3,FALSE),"")</f>
        <v/>
      </c>
      <c r="M85" s="413" t="s">
        <v>65</v>
      </c>
      <c r="N85" s="414">
        <v>67</v>
      </c>
      <c r="O85" s="4"/>
      <c r="P85" s="12" t="str">
        <f t="shared" si="18"/>
        <v>TEF</v>
      </c>
      <c r="Q85" s="12" t="str">
        <f t="shared" si="19"/>
        <v/>
      </c>
      <c r="R85" s="13" t="str">
        <f t="shared" si="20"/>
        <v>_TEF_</v>
      </c>
      <c r="S85" s="13" t="str">
        <f t="shared" si="21"/>
        <v/>
      </c>
      <c r="T85" s="12" t="str">
        <f t="shared" si="22"/>
        <v/>
      </c>
      <c r="U85" s="12" t="str">
        <f t="shared" si="23"/>
        <v/>
      </c>
      <c r="V85" s="12" t="str">
        <f t="shared" si="16"/>
        <v>NO</v>
      </c>
      <c r="W85" s="14" t="str">
        <f t="shared" si="24"/>
        <v/>
      </c>
      <c r="X85" s="14" t="str">
        <f t="shared" si="17"/>
        <v/>
      </c>
      <c r="Y85" s="14" t="str">
        <f t="shared" si="25"/>
        <v/>
      </c>
      <c r="Z85" s="15" t="str">
        <f t="shared" si="26"/>
        <v/>
      </c>
      <c r="AA85" s="342">
        <f t="shared" si="27"/>
        <v>0</v>
      </c>
      <c r="AB85" s="342">
        <f t="shared" si="27"/>
        <v>0</v>
      </c>
      <c r="AC85" s="342">
        <f t="shared" si="13"/>
        <v>0</v>
      </c>
      <c r="AD85" s="342">
        <f t="shared" si="14"/>
        <v>0</v>
      </c>
    </row>
    <row r="86" spans="1:30" ht="12.75" customHeight="1" x14ac:dyDescent="0.2">
      <c r="A86" s="71">
        <v>68</v>
      </c>
      <c r="B86" s="17"/>
      <c r="C86" s="17"/>
      <c r="D86" s="17"/>
      <c r="E86" s="497"/>
      <c r="F86" s="497"/>
      <c r="G86" s="497"/>
      <c r="H86" s="497"/>
      <c r="I86" s="73"/>
      <c r="J86" s="492"/>
      <c r="K86" s="493" t="str">
        <f>IFERROR(VLOOKUP($R86,FeeLookup!$J$5:$L$33,2,FALSE),"")</f>
        <v/>
      </c>
      <c r="L86" s="493" t="str">
        <f>IFERROR(VLOOKUP($R86,FeeLookup!$J$5:$L$33,3,FALSE),"")</f>
        <v/>
      </c>
      <c r="M86" s="413" t="s">
        <v>65</v>
      </c>
      <c r="N86" s="414">
        <v>68</v>
      </c>
      <c r="O86" s="4"/>
      <c r="P86" s="12" t="str">
        <f t="shared" si="18"/>
        <v>TEF</v>
      </c>
      <c r="Q86" s="12" t="str">
        <f t="shared" si="19"/>
        <v/>
      </c>
      <c r="R86" s="13" t="str">
        <f t="shared" si="20"/>
        <v>_TEF_</v>
      </c>
      <c r="S86" s="13" t="str">
        <f t="shared" si="21"/>
        <v/>
      </c>
      <c r="T86" s="12" t="str">
        <f t="shared" si="22"/>
        <v/>
      </c>
      <c r="U86" s="12" t="str">
        <f t="shared" si="23"/>
        <v/>
      </c>
      <c r="V86" s="12" t="str">
        <f t="shared" si="16"/>
        <v>NO</v>
      </c>
      <c r="W86" s="14" t="str">
        <f t="shared" si="24"/>
        <v/>
      </c>
      <c r="X86" s="14" t="str">
        <f t="shared" si="17"/>
        <v/>
      </c>
      <c r="Y86" s="14" t="str">
        <f t="shared" si="25"/>
        <v/>
      </c>
      <c r="Z86" s="15" t="str">
        <f t="shared" si="26"/>
        <v/>
      </c>
      <c r="AA86" s="342">
        <f t="shared" si="27"/>
        <v>0</v>
      </c>
      <c r="AB86" s="342">
        <f t="shared" si="27"/>
        <v>0</v>
      </c>
      <c r="AC86" s="342">
        <f t="shared" si="13"/>
        <v>0</v>
      </c>
      <c r="AD86" s="342">
        <f t="shared" si="14"/>
        <v>0</v>
      </c>
    </row>
    <row r="87" spans="1:30" ht="12.75" customHeight="1" x14ac:dyDescent="0.2">
      <c r="A87" s="71">
        <v>69</v>
      </c>
      <c r="B87" s="17"/>
      <c r="C87" s="17"/>
      <c r="D87" s="17"/>
      <c r="E87" s="497"/>
      <c r="F87" s="497"/>
      <c r="G87" s="497"/>
      <c r="H87" s="497"/>
      <c r="I87" s="73"/>
      <c r="J87" s="492"/>
      <c r="K87" s="493" t="str">
        <f>IFERROR(VLOOKUP($R87,FeeLookup!$J$5:$L$33,2,FALSE),"")</f>
        <v/>
      </c>
      <c r="L87" s="493" t="str">
        <f>IFERROR(VLOOKUP($R87,FeeLookup!$J$5:$L$33,3,FALSE),"")</f>
        <v/>
      </c>
      <c r="M87" s="413" t="s">
        <v>65</v>
      </c>
      <c r="N87" s="414">
        <v>69</v>
      </c>
      <c r="O87" s="4"/>
      <c r="P87" s="12" t="str">
        <f t="shared" si="18"/>
        <v>TEF</v>
      </c>
      <c r="Q87" s="12" t="str">
        <f t="shared" si="19"/>
        <v/>
      </c>
      <c r="R87" s="13" t="str">
        <f t="shared" si="20"/>
        <v>_TEF_</v>
      </c>
      <c r="S87" s="13" t="str">
        <f t="shared" si="21"/>
        <v/>
      </c>
      <c r="T87" s="12" t="str">
        <f t="shared" si="22"/>
        <v/>
      </c>
      <c r="U87" s="12" t="str">
        <f t="shared" si="23"/>
        <v/>
      </c>
      <c r="V87" s="12" t="str">
        <f t="shared" si="16"/>
        <v>NO</v>
      </c>
      <c r="W87" s="14" t="str">
        <f t="shared" si="24"/>
        <v/>
      </c>
      <c r="X87" s="14" t="str">
        <f t="shared" si="17"/>
        <v/>
      </c>
      <c r="Y87" s="14" t="str">
        <f t="shared" si="25"/>
        <v/>
      </c>
      <c r="Z87" s="15" t="str">
        <f t="shared" si="26"/>
        <v/>
      </c>
      <c r="AA87" s="342">
        <f t="shared" si="27"/>
        <v>0</v>
      </c>
      <c r="AB87" s="342">
        <f t="shared" si="27"/>
        <v>0</v>
      </c>
      <c r="AC87" s="342">
        <f t="shared" si="13"/>
        <v>0</v>
      </c>
      <c r="AD87" s="342">
        <f t="shared" si="14"/>
        <v>0</v>
      </c>
    </row>
    <row r="88" spans="1:30" ht="12.75" customHeight="1" x14ac:dyDescent="0.2">
      <c r="A88" s="71">
        <v>70</v>
      </c>
      <c r="B88" s="17"/>
      <c r="C88" s="17"/>
      <c r="D88" s="17"/>
      <c r="E88" s="497"/>
      <c r="F88" s="497"/>
      <c r="G88" s="497"/>
      <c r="H88" s="497"/>
      <c r="I88" s="73"/>
      <c r="J88" s="492"/>
      <c r="K88" s="493" t="str">
        <f>IFERROR(VLOOKUP($R88,FeeLookup!$J$5:$L$33,2,FALSE),"")</f>
        <v/>
      </c>
      <c r="L88" s="493" t="str">
        <f>IFERROR(VLOOKUP($R88,FeeLookup!$J$5:$L$33,3,FALSE),"")</f>
        <v/>
      </c>
      <c r="M88" s="413" t="s">
        <v>65</v>
      </c>
      <c r="N88" s="414">
        <v>70</v>
      </c>
      <c r="O88" s="4"/>
      <c r="P88" s="12" t="str">
        <f t="shared" si="18"/>
        <v>TEF</v>
      </c>
      <c r="Q88" s="12" t="str">
        <f t="shared" si="19"/>
        <v/>
      </c>
      <c r="R88" s="13" t="str">
        <f t="shared" si="20"/>
        <v>_TEF_</v>
      </c>
      <c r="S88" s="13" t="str">
        <f t="shared" si="21"/>
        <v/>
      </c>
      <c r="T88" s="12" t="str">
        <f t="shared" si="22"/>
        <v/>
      </c>
      <c r="U88" s="12" t="str">
        <f t="shared" si="23"/>
        <v/>
      </c>
      <c r="V88" s="12" t="str">
        <f t="shared" si="16"/>
        <v>NO</v>
      </c>
      <c r="W88" s="14" t="str">
        <f t="shared" si="24"/>
        <v/>
      </c>
      <c r="X88" s="14" t="str">
        <f t="shared" si="17"/>
        <v/>
      </c>
      <c r="Y88" s="14" t="str">
        <f t="shared" si="25"/>
        <v/>
      </c>
      <c r="Z88" s="15" t="str">
        <f t="shared" si="26"/>
        <v/>
      </c>
      <c r="AA88" s="342">
        <f t="shared" si="27"/>
        <v>0</v>
      </c>
      <c r="AB88" s="342">
        <f t="shared" si="27"/>
        <v>0</v>
      </c>
      <c r="AC88" s="342">
        <f t="shared" si="13"/>
        <v>0</v>
      </c>
      <c r="AD88" s="342">
        <f t="shared" si="14"/>
        <v>0</v>
      </c>
    </row>
    <row r="89" spans="1:30" ht="12.75" customHeight="1" x14ac:dyDescent="0.2">
      <c r="A89" s="71">
        <v>71</v>
      </c>
      <c r="B89" s="17"/>
      <c r="C89" s="17"/>
      <c r="D89" s="17"/>
      <c r="E89" s="497"/>
      <c r="F89" s="497"/>
      <c r="G89" s="497"/>
      <c r="H89" s="497"/>
      <c r="I89" s="73"/>
      <c r="J89" s="492"/>
      <c r="K89" s="493" t="str">
        <f>IFERROR(VLOOKUP($R89,FeeLookup!$J$5:$L$33,2,FALSE),"")</f>
        <v/>
      </c>
      <c r="L89" s="493" t="str">
        <f>IFERROR(VLOOKUP($R89,FeeLookup!$J$5:$L$33,3,FALSE),"")</f>
        <v/>
      </c>
      <c r="M89" s="413" t="s">
        <v>65</v>
      </c>
      <c r="N89" s="414">
        <v>71</v>
      </c>
      <c r="O89" s="4"/>
      <c r="P89" s="12" t="str">
        <f t="shared" si="18"/>
        <v>TEF</v>
      </c>
      <c r="Q89" s="12" t="str">
        <f t="shared" si="19"/>
        <v/>
      </c>
      <c r="R89" s="13" t="str">
        <f t="shared" si="20"/>
        <v>_TEF_</v>
      </c>
      <c r="S89" s="13" t="str">
        <f t="shared" si="21"/>
        <v/>
      </c>
      <c r="T89" s="12" t="str">
        <f t="shared" si="22"/>
        <v/>
      </c>
      <c r="U89" s="12" t="str">
        <f t="shared" si="23"/>
        <v/>
      </c>
      <c r="V89" s="12" t="str">
        <f t="shared" si="16"/>
        <v>NO</v>
      </c>
      <c r="W89" s="14" t="str">
        <f t="shared" si="24"/>
        <v/>
      </c>
      <c r="X89" s="14" t="str">
        <f t="shared" si="17"/>
        <v/>
      </c>
      <c r="Y89" s="14" t="str">
        <f t="shared" si="25"/>
        <v/>
      </c>
      <c r="Z89" s="15" t="str">
        <f t="shared" si="26"/>
        <v/>
      </c>
      <c r="AA89" s="342">
        <f t="shared" si="27"/>
        <v>0</v>
      </c>
      <c r="AB89" s="342">
        <f t="shared" si="27"/>
        <v>0</v>
      </c>
      <c r="AC89" s="342">
        <f t="shared" si="13"/>
        <v>0</v>
      </c>
      <c r="AD89" s="342">
        <f t="shared" si="14"/>
        <v>0</v>
      </c>
    </row>
    <row r="90" spans="1:30" ht="12.75" customHeight="1" x14ac:dyDescent="0.2">
      <c r="A90" s="71">
        <v>72</v>
      </c>
      <c r="B90" s="17"/>
      <c r="C90" s="17"/>
      <c r="D90" s="17"/>
      <c r="E90" s="497"/>
      <c r="F90" s="497"/>
      <c r="G90" s="497"/>
      <c r="H90" s="497"/>
      <c r="I90" s="73"/>
      <c r="J90" s="492"/>
      <c r="K90" s="493" t="str">
        <f>IFERROR(VLOOKUP($R90,FeeLookup!$J$5:$L$33,2,FALSE),"")</f>
        <v/>
      </c>
      <c r="L90" s="493" t="str">
        <f>IFERROR(VLOOKUP($R90,FeeLookup!$J$5:$L$33,3,FALSE),"")</f>
        <v/>
      </c>
      <c r="M90" s="413" t="s">
        <v>65</v>
      </c>
      <c r="N90" s="414">
        <v>72</v>
      </c>
      <c r="O90" s="4"/>
      <c r="P90" s="12" t="str">
        <f t="shared" si="18"/>
        <v>TEF</v>
      </c>
      <c r="Q90" s="12" t="str">
        <f t="shared" si="19"/>
        <v/>
      </c>
      <c r="R90" s="13" t="str">
        <f t="shared" si="20"/>
        <v>_TEF_</v>
      </c>
      <c r="S90" s="13" t="str">
        <f t="shared" si="21"/>
        <v/>
      </c>
      <c r="T90" s="12" t="str">
        <f t="shared" si="22"/>
        <v/>
      </c>
      <c r="U90" s="12" t="str">
        <f t="shared" si="23"/>
        <v/>
      </c>
      <c r="V90" s="12" t="str">
        <f t="shared" si="16"/>
        <v>NO</v>
      </c>
      <c r="W90" s="14" t="str">
        <f t="shared" si="24"/>
        <v/>
      </c>
      <c r="X90" s="14" t="str">
        <f t="shared" si="17"/>
        <v/>
      </c>
      <c r="Y90" s="14" t="str">
        <f t="shared" si="25"/>
        <v/>
      </c>
      <c r="Z90" s="15" t="str">
        <f t="shared" si="26"/>
        <v/>
      </c>
      <c r="AA90" s="342">
        <f t="shared" si="27"/>
        <v>0</v>
      </c>
      <c r="AB90" s="342">
        <f t="shared" si="27"/>
        <v>0</v>
      </c>
      <c r="AC90" s="342">
        <f t="shared" si="13"/>
        <v>0</v>
      </c>
      <c r="AD90" s="342">
        <f t="shared" si="14"/>
        <v>0</v>
      </c>
    </row>
    <row r="91" spans="1:30" ht="12.75" customHeight="1" x14ac:dyDescent="0.2">
      <c r="A91" s="71">
        <v>73</v>
      </c>
      <c r="B91" s="17"/>
      <c r="C91" s="17"/>
      <c r="D91" s="17"/>
      <c r="E91" s="497"/>
      <c r="F91" s="497"/>
      <c r="G91" s="497"/>
      <c r="H91" s="497"/>
      <c r="I91" s="73"/>
      <c r="J91" s="492"/>
      <c r="K91" s="493" t="str">
        <f>IFERROR(VLOOKUP($R91,FeeLookup!$J$5:$L$33,2,FALSE),"")</f>
        <v/>
      </c>
      <c r="L91" s="493" t="str">
        <f>IFERROR(VLOOKUP($R91,FeeLookup!$J$5:$L$33,3,FALSE),"")</f>
        <v/>
      </c>
      <c r="M91" s="413" t="s">
        <v>65</v>
      </c>
      <c r="N91" s="414">
        <v>73</v>
      </c>
      <c r="O91" s="4"/>
      <c r="P91" s="12" t="str">
        <f t="shared" si="18"/>
        <v>TEF</v>
      </c>
      <c r="Q91" s="12" t="str">
        <f t="shared" si="19"/>
        <v/>
      </c>
      <c r="R91" s="13" t="str">
        <f t="shared" si="20"/>
        <v>_TEF_</v>
      </c>
      <c r="S91" s="13" t="str">
        <f t="shared" si="21"/>
        <v/>
      </c>
      <c r="T91" s="12" t="str">
        <f t="shared" si="22"/>
        <v/>
      </c>
      <c r="U91" s="12" t="str">
        <f t="shared" si="23"/>
        <v/>
      </c>
      <c r="V91" s="12" t="str">
        <f t="shared" si="16"/>
        <v>NO</v>
      </c>
      <c r="W91" s="14" t="str">
        <f t="shared" si="24"/>
        <v/>
      </c>
      <c r="X91" s="14" t="str">
        <f t="shared" si="17"/>
        <v/>
      </c>
      <c r="Y91" s="14" t="str">
        <f t="shared" si="25"/>
        <v/>
      </c>
      <c r="Z91" s="15" t="str">
        <f t="shared" si="26"/>
        <v/>
      </c>
      <c r="AA91" s="342">
        <f t="shared" si="27"/>
        <v>0</v>
      </c>
      <c r="AB91" s="342">
        <f t="shared" si="27"/>
        <v>0</v>
      </c>
      <c r="AC91" s="342">
        <f t="shared" si="13"/>
        <v>0</v>
      </c>
      <c r="AD91" s="342">
        <f t="shared" si="14"/>
        <v>0</v>
      </c>
    </row>
    <row r="92" spans="1:30" ht="12.75" customHeight="1" x14ac:dyDescent="0.2">
      <c r="A92" s="71">
        <v>74</v>
      </c>
      <c r="B92" s="17"/>
      <c r="C92" s="17"/>
      <c r="D92" s="17"/>
      <c r="E92" s="497"/>
      <c r="F92" s="497"/>
      <c r="G92" s="497"/>
      <c r="H92" s="497"/>
      <c r="I92" s="73"/>
      <c r="J92" s="492"/>
      <c r="K92" s="493" t="str">
        <f>IFERROR(VLOOKUP($R92,FeeLookup!$J$5:$L$33,2,FALSE),"")</f>
        <v/>
      </c>
      <c r="L92" s="493" t="str">
        <f>IFERROR(VLOOKUP($R92,FeeLookup!$J$5:$L$33,3,FALSE),"")</f>
        <v/>
      </c>
      <c r="M92" s="413" t="s">
        <v>65</v>
      </c>
      <c r="N92" s="414">
        <v>74</v>
      </c>
      <c r="O92" s="4"/>
      <c r="P92" s="12" t="str">
        <f t="shared" si="18"/>
        <v>TEF</v>
      </c>
      <c r="Q92" s="12" t="str">
        <f t="shared" si="19"/>
        <v/>
      </c>
      <c r="R92" s="13" t="str">
        <f t="shared" si="20"/>
        <v>_TEF_</v>
      </c>
      <c r="S92" s="13" t="str">
        <f t="shared" si="21"/>
        <v/>
      </c>
      <c r="T92" s="12" t="str">
        <f t="shared" si="22"/>
        <v/>
      </c>
      <c r="U92" s="12" t="str">
        <f t="shared" si="23"/>
        <v/>
      </c>
      <c r="V92" s="12" t="str">
        <f t="shared" si="16"/>
        <v>NO</v>
      </c>
      <c r="W92" s="14" t="str">
        <f t="shared" si="24"/>
        <v/>
      </c>
      <c r="X92" s="14" t="str">
        <f t="shared" si="17"/>
        <v/>
      </c>
      <c r="Y92" s="14" t="str">
        <f t="shared" si="25"/>
        <v/>
      </c>
      <c r="Z92" s="15" t="str">
        <f t="shared" si="26"/>
        <v/>
      </c>
      <c r="AA92" s="342">
        <f t="shared" si="27"/>
        <v>0</v>
      </c>
      <c r="AB92" s="342">
        <f t="shared" si="27"/>
        <v>0</v>
      </c>
      <c r="AC92" s="342">
        <f t="shared" si="13"/>
        <v>0</v>
      </c>
      <c r="AD92" s="342">
        <f t="shared" si="14"/>
        <v>0</v>
      </c>
    </row>
    <row r="93" spans="1:30" ht="12.75" customHeight="1" x14ac:dyDescent="0.2">
      <c r="A93" s="71">
        <v>75</v>
      </c>
      <c r="B93" s="17"/>
      <c r="C93" s="17"/>
      <c r="D93" s="17"/>
      <c r="E93" s="497"/>
      <c r="F93" s="497"/>
      <c r="G93" s="497"/>
      <c r="H93" s="497"/>
      <c r="I93" s="73"/>
      <c r="J93" s="492"/>
      <c r="K93" s="493" t="str">
        <f>IFERROR(VLOOKUP($R93,FeeLookup!$J$5:$L$33,2,FALSE),"")</f>
        <v/>
      </c>
      <c r="L93" s="493" t="str">
        <f>IFERROR(VLOOKUP($R93,FeeLookup!$J$5:$L$33,3,FALSE),"")</f>
        <v/>
      </c>
      <c r="M93" s="413" t="s">
        <v>65</v>
      </c>
      <c r="N93" s="414">
        <v>75</v>
      </c>
      <c r="O93" s="4"/>
      <c r="P93" s="12" t="str">
        <f t="shared" si="18"/>
        <v>TEF</v>
      </c>
      <c r="Q93" s="12" t="str">
        <f t="shared" si="19"/>
        <v/>
      </c>
      <c r="R93" s="13" t="str">
        <f t="shared" si="20"/>
        <v>_TEF_</v>
      </c>
      <c r="S93" s="13" t="str">
        <f t="shared" si="21"/>
        <v/>
      </c>
      <c r="T93" s="12" t="str">
        <f t="shared" si="22"/>
        <v/>
      </c>
      <c r="U93" s="12" t="str">
        <f t="shared" si="23"/>
        <v/>
      </c>
      <c r="V93" s="12" t="str">
        <f t="shared" si="16"/>
        <v>NO</v>
      </c>
      <c r="W93" s="14" t="str">
        <f t="shared" si="24"/>
        <v/>
      </c>
      <c r="X93" s="14" t="str">
        <f t="shared" si="17"/>
        <v/>
      </c>
      <c r="Y93" s="14" t="str">
        <f t="shared" si="25"/>
        <v/>
      </c>
      <c r="Z93" s="15" t="str">
        <f t="shared" si="26"/>
        <v/>
      </c>
      <c r="AA93" s="342">
        <f t="shared" si="27"/>
        <v>0</v>
      </c>
      <c r="AB93" s="342">
        <f t="shared" si="27"/>
        <v>0</v>
      </c>
      <c r="AC93" s="342">
        <f t="shared" si="13"/>
        <v>0</v>
      </c>
      <c r="AD93" s="342">
        <f t="shared" si="14"/>
        <v>0</v>
      </c>
    </row>
    <row r="94" spans="1:30" ht="12.75" customHeight="1" x14ac:dyDescent="0.2">
      <c r="A94" s="71">
        <v>76</v>
      </c>
      <c r="B94" s="17"/>
      <c r="C94" s="17"/>
      <c r="D94" s="17"/>
      <c r="E94" s="497"/>
      <c r="F94" s="497"/>
      <c r="G94" s="497"/>
      <c r="H94" s="497"/>
      <c r="I94" s="73"/>
      <c r="J94" s="492"/>
      <c r="K94" s="493" t="str">
        <f>IFERROR(VLOOKUP($R94,FeeLookup!$J$5:$L$33,2,FALSE),"")</f>
        <v/>
      </c>
      <c r="L94" s="493" t="str">
        <f>IFERROR(VLOOKUP($R94,FeeLookup!$J$5:$L$33,3,FALSE),"")</f>
        <v/>
      </c>
      <c r="M94" s="413" t="s">
        <v>65</v>
      </c>
      <c r="N94" s="414">
        <v>76</v>
      </c>
      <c r="O94" s="4"/>
      <c r="P94" s="12" t="str">
        <f t="shared" si="18"/>
        <v>TEF</v>
      </c>
      <c r="Q94" s="12" t="str">
        <f t="shared" si="19"/>
        <v/>
      </c>
      <c r="R94" s="13" t="str">
        <f t="shared" si="20"/>
        <v>_TEF_</v>
      </c>
      <c r="S94" s="13" t="str">
        <f t="shared" si="21"/>
        <v/>
      </c>
      <c r="T94" s="12" t="str">
        <f t="shared" si="22"/>
        <v/>
      </c>
      <c r="U94" s="12" t="str">
        <f t="shared" si="23"/>
        <v/>
      </c>
      <c r="V94" s="12" t="str">
        <f t="shared" si="16"/>
        <v>NO</v>
      </c>
      <c r="W94" s="14" t="str">
        <f t="shared" si="24"/>
        <v/>
      </c>
      <c r="X94" s="14" t="str">
        <f t="shared" si="17"/>
        <v/>
      </c>
      <c r="Y94" s="14" t="str">
        <f t="shared" si="25"/>
        <v/>
      </c>
      <c r="Z94" s="15" t="str">
        <f t="shared" si="26"/>
        <v/>
      </c>
      <c r="AA94" s="342">
        <f t="shared" si="27"/>
        <v>0</v>
      </c>
      <c r="AB94" s="342">
        <f t="shared" si="27"/>
        <v>0</v>
      </c>
      <c r="AC94" s="342">
        <f t="shared" si="13"/>
        <v>0</v>
      </c>
      <c r="AD94" s="342">
        <f t="shared" si="14"/>
        <v>0</v>
      </c>
    </row>
    <row r="95" spans="1:30" ht="12.75" customHeight="1" x14ac:dyDescent="0.2">
      <c r="A95" s="71">
        <v>77</v>
      </c>
      <c r="B95" s="17"/>
      <c r="C95" s="17"/>
      <c r="D95" s="17"/>
      <c r="E95" s="497"/>
      <c r="F95" s="497"/>
      <c r="G95" s="497"/>
      <c r="H95" s="497"/>
      <c r="I95" s="73"/>
      <c r="J95" s="492"/>
      <c r="K95" s="493" t="str">
        <f>IFERROR(VLOOKUP($R95,FeeLookup!$J$5:$L$33,2,FALSE),"")</f>
        <v/>
      </c>
      <c r="L95" s="493" t="str">
        <f>IFERROR(VLOOKUP($R95,FeeLookup!$J$5:$L$33,3,FALSE),"")</f>
        <v/>
      </c>
      <c r="M95" s="413" t="s">
        <v>65</v>
      </c>
      <c r="N95" s="414">
        <v>77</v>
      </c>
      <c r="O95" s="4"/>
      <c r="P95" s="12" t="str">
        <f t="shared" si="18"/>
        <v>TEF</v>
      </c>
      <c r="Q95" s="12" t="str">
        <f t="shared" si="19"/>
        <v/>
      </c>
      <c r="R95" s="13" t="str">
        <f t="shared" si="20"/>
        <v>_TEF_</v>
      </c>
      <c r="S95" s="13" t="str">
        <f t="shared" si="21"/>
        <v/>
      </c>
      <c r="T95" s="12" t="str">
        <f t="shared" si="22"/>
        <v/>
      </c>
      <c r="U95" s="12" t="str">
        <f t="shared" si="23"/>
        <v/>
      </c>
      <c r="V95" s="12" t="str">
        <f t="shared" si="16"/>
        <v>NO</v>
      </c>
      <c r="W95" s="14" t="str">
        <f t="shared" si="24"/>
        <v/>
      </c>
      <c r="X95" s="14" t="str">
        <f t="shared" si="17"/>
        <v/>
      </c>
      <c r="Y95" s="14" t="str">
        <f t="shared" si="25"/>
        <v/>
      </c>
      <c r="Z95" s="15" t="str">
        <f t="shared" si="26"/>
        <v/>
      </c>
      <c r="AA95" s="342">
        <f t="shared" si="27"/>
        <v>0</v>
      </c>
      <c r="AB95" s="342">
        <f t="shared" si="27"/>
        <v>0</v>
      </c>
      <c r="AC95" s="342">
        <f t="shared" si="13"/>
        <v>0</v>
      </c>
      <c r="AD95" s="342">
        <f t="shared" si="14"/>
        <v>0</v>
      </c>
    </row>
    <row r="96" spans="1:30" ht="12.75" customHeight="1" x14ac:dyDescent="0.2">
      <c r="A96" s="71">
        <v>78</v>
      </c>
      <c r="B96" s="17"/>
      <c r="C96" s="17"/>
      <c r="D96" s="17"/>
      <c r="E96" s="497"/>
      <c r="F96" s="497"/>
      <c r="G96" s="497"/>
      <c r="H96" s="497"/>
      <c r="I96" s="73"/>
      <c r="J96" s="492"/>
      <c r="K96" s="493" t="str">
        <f>IFERROR(VLOOKUP($R96,FeeLookup!$J$5:$L$33,2,FALSE),"")</f>
        <v/>
      </c>
      <c r="L96" s="493" t="str">
        <f>IFERROR(VLOOKUP($R96,FeeLookup!$J$5:$L$33,3,FALSE),"")</f>
        <v/>
      </c>
      <c r="M96" s="413" t="s">
        <v>65</v>
      </c>
      <c r="N96" s="414">
        <v>78</v>
      </c>
      <c r="O96" s="4"/>
      <c r="P96" s="12" t="str">
        <f t="shared" si="18"/>
        <v>TEF</v>
      </c>
      <c r="Q96" s="12" t="str">
        <f t="shared" si="19"/>
        <v/>
      </c>
      <c r="R96" s="13" t="str">
        <f t="shared" si="20"/>
        <v>_TEF_</v>
      </c>
      <c r="S96" s="13" t="str">
        <f t="shared" si="21"/>
        <v/>
      </c>
      <c r="T96" s="12" t="str">
        <f t="shared" si="22"/>
        <v/>
      </c>
      <c r="U96" s="12" t="str">
        <f t="shared" si="23"/>
        <v/>
      </c>
      <c r="V96" s="12" t="str">
        <f t="shared" si="16"/>
        <v>NO</v>
      </c>
      <c r="W96" s="14" t="str">
        <f t="shared" si="24"/>
        <v/>
      </c>
      <c r="X96" s="14" t="str">
        <f t="shared" si="17"/>
        <v/>
      </c>
      <c r="Y96" s="14" t="str">
        <f t="shared" si="25"/>
        <v/>
      </c>
      <c r="Z96" s="15" t="str">
        <f t="shared" si="26"/>
        <v/>
      </c>
      <c r="AA96" s="342">
        <f t="shared" si="27"/>
        <v>0</v>
      </c>
      <c r="AB96" s="342">
        <f t="shared" si="27"/>
        <v>0</v>
      </c>
      <c r="AC96" s="342">
        <f t="shared" si="13"/>
        <v>0</v>
      </c>
      <c r="AD96" s="342">
        <f t="shared" si="14"/>
        <v>0</v>
      </c>
    </row>
    <row r="97" spans="1:30" ht="12.75" customHeight="1" x14ac:dyDescent="0.2">
      <c r="A97" s="71">
        <v>79</v>
      </c>
      <c r="B97" s="17"/>
      <c r="C97" s="17"/>
      <c r="D97" s="17"/>
      <c r="E97" s="497"/>
      <c r="F97" s="497"/>
      <c r="G97" s="497"/>
      <c r="H97" s="497"/>
      <c r="I97" s="73"/>
      <c r="J97" s="492"/>
      <c r="K97" s="493" t="str">
        <f>IFERROR(VLOOKUP($R97,FeeLookup!$J$5:$L$33,2,FALSE),"")</f>
        <v/>
      </c>
      <c r="L97" s="493" t="str">
        <f>IFERROR(VLOOKUP($R97,FeeLookup!$J$5:$L$33,3,FALSE),"")</f>
        <v/>
      </c>
      <c r="M97" s="413" t="s">
        <v>65</v>
      </c>
      <c r="N97" s="414">
        <v>79</v>
      </c>
      <c r="O97" s="4"/>
      <c r="P97" s="12" t="str">
        <f t="shared" si="18"/>
        <v>TEF</v>
      </c>
      <c r="Q97" s="12" t="str">
        <f t="shared" si="19"/>
        <v/>
      </c>
      <c r="R97" s="13" t="str">
        <f t="shared" si="20"/>
        <v>_TEF_</v>
      </c>
      <c r="S97" s="13" t="str">
        <f t="shared" si="21"/>
        <v/>
      </c>
      <c r="T97" s="12" t="str">
        <f t="shared" si="22"/>
        <v/>
      </c>
      <c r="U97" s="12" t="str">
        <f t="shared" si="23"/>
        <v/>
      </c>
      <c r="V97" s="12" t="str">
        <f t="shared" si="16"/>
        <v>NO</v>
      </c>
      <c r="W97" s="14" t="str">
        <f t="shared" si="24"/>
        <v/>
      </c>
      <c r="X97" s="14" t="str">
        <f t="shared" si="17"/>
        <v/>
      </c>
      <c r="Y97" s="14" t="str">
        <f t="shared" si="25"/>
        <v/>
      </c>
      <c r="Z97" s="15" t="str">
        <f t="shared" si="26"/>
        <v/>
      </c>
      <c r="AA97" s="342">
        <f t="shared" si="27"/>
        <v>0</v>
      </c>
      <c r="AB97" s="342">
        <f t="shared" si="27"/>
        <v>0</v>
      </c>
      <c r="AC97" s="342">
        <f t="shared" si="13"/>
        <v>0</v>
      </c>
      <c r="AD97" s="342">
        <f t="shared" si="14"/>
        <v>0</v>
      </c>
    </row>
    <row r="98" spans="1:30" ht="12.75" customHeight="1" x14ac:dyDescent="0.2">
      <c r="A98" s="71">
        <v>80</v>
      </c>
      <c r="B98" s="17"/>
      <c r="C98" s="17"/>
      <c r="D98" s="17"/>
      <c r="E98" s="497"/>
      <c r="F98" s="497"/>
      <c r="G98" s="497"/>
      <c r="H98" s="497"/>
      <c r="I98" s="73"/>
      <c r="J98" s="492"/>
      <c r="K98" s="493" t="str">
        <f>IFERROR(VLOOKUP($R98,FeeLookup!$J$5:$L$33,2,FALSE),"")</f>
        <v/>
      </c>
      <c r="L98" s="493" t="str">
        <f>IFERROR(VLOOKUP($R98,FeeLookup!$J$5:$L$33,3,FALSE),"")</f>
        <v/>
      </c>
      <c r="M98" s="413" t="s">
        <v>65</v>
      </c>
      <c r="N98" s="414">
        <v>80</v>
      </c>
      <c r="O98" s="4"/>
      <c r="P98" s="12" t="str">
        <f t="shared" si="18"/>
        <v>TEF</v>
      </c>
      <c r="Q98" s="12" t="str">
        <f t="shared" si="19"/>
        <v/>
      </c>
      <c r="R98" s="13" t="str">
        <f t="shared" si="20"/>
        <v>_TEF_</v>
      </c>
      <c r="S98" s="13" t="str">
        <f t="shared" si="21"/>
        <v/>
      </c>
      <c r="T98" s="12" t="str">
        <f t="shared" si="22"/>
        <v/>
      </c>
      <c r="U98" s="12" t="str">
        <f t="shared" si="23"/>
        <v/>
      </c>
      <c r="V98" s="12" t="str">
        <f t="shared" si="16"/>
        <v>NO</v>
      </c>
      <c r="W98" s="14" t="str">
        <f t="shared" si="24"/>
        <v/>
      </c>
      <c r="X98" s="14" t="str">
        <f t="shared" si="17"/>
        <v/>
      </c>
      <c r="Y98" s="14" t="str">
        <f t="shared" si="25"/>
        <v/>
      </c>
      <c r="Z98" s="15" t="str">
        <f t="shared" si="26"/>
        <v/>
      </c>
      <c r="AA98" s="342">
        <f t="shared" si="27"/>
        <v>0</v>
      </c>
      <c r="AB98" s="342">
        <f t="shared" si="27"/>
        <v>0</v>
      </c>
      <c r="AC98" s="342">
        <f t="shared" si="13"/>
        <v>0</v>
      </c>
      <c r="AD98" s="342">
        <f t="shared" si="14"/>
        <v>0</v>
      </c>
    </row>
    <row r="99" spans="1:30" ht="12.75" customHeight="1" x14ac:dyDescent="0.2">
      <c r="A99" s="71">
        <v>81</v>
      </c>
      <c r="B99" s="17"/>
      <c r="C99" s="17"/>
      <c r="D99" s="17"/>
      <c r="E99" s="497"/>
      <c r="F99" s="497"/>
      <c r="G99" s="497"/>
      <c r="H99" s="497"/>
      <c r="I99" s="73"/>
      <c r="J99" s="492"/>
      <c r="K99" s="493" t="str">
        <f>IFERROR(VLOOKUP($R99,FeeLookup!$J$5:$L$33,2,FALSE),"")</f>
        <v/>
      </c>
      <c r="L99" s="493" t="str">
        <f>IFERROR(VLOOKUP($R99,FeeLookup!$J$5:$L$33,3,FALSE),"")</f>
        <v/>
      </c>
      <c r="M99" s="413" t="s">
        <v>65</v>
      </c>
      <c r="N99" s="414">
        <v>81</v>
      </c>
      <c r="O99" s="4"/>
      <c r="P99" s="12" t="str">
        <f t="shared" si="18"/>
        <v>TEF</v>
      </c>
      <c r="Q99" s="12" t="str">
        <f t="shared" si="19"/>
        <v/>
      </c>
      <c r="R99" s="13" t="str">
        <f t="shared" si="20"/>
        <v>_TEF_</v>
      </c>
      <c r="S99" s="13" t="str">
        <f t="shared" si="21"/>
        <v/>
      </c>
      <c r="T99" s="12" t="str">
        <f t="shared" si="22"/>
        <v/>
      </c>
      <c r="U99" s="12" t="str">
        <f t="shared" si="23"/>
        <v/>
      </c>
      <c r="V99" s="12" t="str">
        <f t="shared" si="16"/>
        <v>NO</v>
      </c>
      <c r="W99" s="14" t="str">
        <f t="shared" si="24"/>
        <v/>
      </c>
      <c r="X99" s="14" t="str">
        <f t="shared" si="17"/>
        <v/>
      </c>
      <c r="Y99" s="14" t="str">
        <f t="shared" si="25"/>
        <v/>
      </c>
      <c r="Z99" s="15" t="str">
        <f t="shared" si="26"/>
        <v/>
      </c>
      <c r="AA99" s="342">
        <f t="shared" si="27"/>
        <v>0</v>
      </c>
      <c r="AB99" s="342">
        <f t="shared" si="27"/>
        <v>0</v>
      </c>
      <c r="AC99" s="342">
        <f t="shared" ref="AC99:AC162" si="28">IF(IF(ISERROR($J99-$K99)=TRUE,0,$J99-$K99)&gt;0,G99,0)</f>
        <v>0</v>
      </c>
      <c r="AD99" s="342">
        <f t="shared" ref="AD99:AD162" si="29">IF(IF(ISERROR($J99-$K99)=TRUE,0,$J99-$K99)&gt;0,H99,0)</f>
        <v>0</v>
      </c>
    </row>
    <row r="100" spans="1:30" ht="12.75" customHeight="1" x14ac:dyDescent="0.2">
      <c r="A100" s="71">
        <v>82</v>
      </c>
      <c r="B100" s="17"/>
      <c r="C100" s="17"/>
      <c r="D100" s="17"/>
      <c r="E100" s="497"/>
      <c r="F100" s="497"/>
      <c r="G100" s="497"/>
      <c r="H100" s="497"/>
      <c r="I100" s="73"/>
      <c r="J100" s="492"/>
      <c r="K100" s="493" t="str">
        <f>IFERROR(VLOOKUP($R100,FeeLookup!$J$5:$L$33,2,FALSE),"")</f>
        <v/>
      </c>
      <c r="L100" s="493" t="str">
        <f>IFERROR(VLOOKUP($R100,FeeLookup!$J$5:$L$33,3,FALSE),"")</f>
        <v/>
      </c>
      <c r="M100" s="413" t="s">
        <v>65</v>
      </c>
      <c r="N100" s="414">
        <v>82</v>
      </c>
      <c r="O100" s="4"/>
      <c r="P100" s="12" t="str">
        <f t="shared" si="18"/>
        <v>TEF</v>
      </c>
      <c r="Q100" s="12" t="str">
        <f t="shared" si="19"/>
        <v/>
      </c>
      <c r="R100" s="13" t="str">
        <f t="shared" si="20"/>
        <v>_TEF_</v>
      </c>
      <c r="S100" s="13" t="str">
        <f t="shared" si="21"/>
        <v/>
      </c>
      <c r="T100" s="12" t="str">
        <f t="shared" si="22"/>
        <v/>
      </c>
      <c r="U100" s="12" t="str">
        <f t="shared" si="23"/>
        <v/>
      </c>
      <c r="V100" s="12" t="str">
        <f t="shared" si="16"/>
        <v>NO</v>
      </c>
      <c r="W100" s="14" t="str">
        <f t="shared" si="24"/>
        <v/>
      </c>
      <c r="X100" s="14" t="str">
        <f t="shared" si="17"/>
        <v/>
      </c>
      <c r="Y100" s="14" t="str">
        <f t="shared" si="25"/>
        <v/>
      </c>
      <c r="Z100" s="15" t="str">
        <f t="shared" si="26"/>
        <v/>
      </c>
      <c r="AA100" s="342">
        <f t="shared" si="27"/>
        <v>0</v>
      </c>
      <c r="AB100" s="342">
        <f t="shared" si="27"/>
        <v>0</v>
      </c>
      <c r="AC100" s="342">
        <f t="shared" si="28"/>
        <v>0</v>
      </c>
      <c r="AD100" s="342">
        <f t="shared" si="29"/>
        <v>0</v>
      </c>
    </row>
    <row r="101" spans="1:30" ht="12.75" customHeight="1" x14ac:dyDescent="0.2">
      <c r="A101" s="71">
        <v>83</v>
      </c>
      <c r="B101" s="17"/>
      <c r="C101" s="17"/>
      <c r="D101" s="17"/>
      <c r="E101" s="497"/>
      <c r="F101" s="497"/>
      <c r="G101" s="497"/>
      <c r="H101" s="497"/>
      <c r="I101" s="73"/>
      <c r="J101" s="492"/>
      <c r="K101" s="493" t="str">
        <f>IFERROR(VLOOKUP($R101,FeeLookup!$J$5:$L$33,2,FALSE),"")</f>
        <v/>
      </c>
      <c r="L101" s="493" t="str">
        <f>IFERROR(VLOOKUP($R101,FeeLookup!$J$5:$L$33,3,FALSE),"")</f>
        <v/>
      </c>
      <c r="M101" s="413" t="s">
        <v>65</v>
      </c>
      <c r="N101" s="414">
        <v>83</v>
      </c>
      <c r="O101" s="4"/>
      <c r="P101" s="12" t="str">
        <f t="shared" si="18"/>
        <v>TEF</v>
      </c>
      <c r="Q101" s="12" t="str">
        <f t="shared" si="19"/>
        <v/>
      </c>
      <c r="R101" s="13" t="str">
        <f t="shared" si="20"/>
        <v>_TEF_</v>
      </c>
      <c r="S101" s="13" t="str">
        <f t="shared" si="21"/>
        <v/>
      </c>
      <c r="T101" s="12" t="str">
        <f t="shared" si="22"/>
        <v/>
      </c>
      <c r="U101" s="12" t="str">
        <f t="shared" si="23"/>
        <v/>
      </c>
      <c r="V101" s="12" t="str">
        <f t="shared" si="16"/>
        <v>NO</v>
      </c>
      <c r="W101" s="14" t="str">
        <f t="shared" si="24"/>
        <v/>
      </c>
      <c r="X101" s="14" t="str">
        <f t="shared" si="17"/>
        <v/>
      </c>
      <c r="Y101" s="14" t="str">
        <f t="shared" si="25"/>
        <v/>
      </c>
      <c r="Z101" s="15" t="str">
        <f t="shared" si="26"/>
        <v/>
      </c>
      <c r="AA101" s="342">
        <f t="shared" si="27"/>
        <v>0</v>
      </c>
      <c r="AB101" s="342">
        <f t="shared" si="27"/>
        <v>0</v>
      </c>
      <c r="AC101" s="342">
        <f t="shared" si="28"/>
        <v>0</v>
      </c>
      <c r="AD101" s="342">
        <f t="shared" si="29"/>
        <v>0</v>
      </c>
    </row>
    <row r="102" spans="1:30" ht="12.75" customHeight="1" x14ac:dyDescent="0.2">
      <c r="A102" s="71">
        <v>84</v>
      </c>
      <c r="B102" s="17"/>
      <c r="C102" s="17"/>
      <c r="D102" s="17"/>
      <c r="E102" s="497"/>
      <c r="F102" s="497"/>
      <c r="G102" s="497"/>
      <c r="H102" s="497"/>
      <c r="I102" s="73"/>
      <c r="J102" s="492"/>
      <c r="K102" s="493" t="str">
        <f>IFERROR(VLOOKUP($R102,FeeLookup!$J$5:$L$33,2,FALSE),"")</f>
        <v/>
      </c>
      <c r="L102" s="493" t="str">
        <f>IFERROR(VLOOKUP($R102,FeeLookup!$J$5:$L$33,3,FALSE),"")</f>
        <v/>
      </c>
      <c r="M102" s="413" t="s">
        <v>65</v>
      </c>
      <c r="N102" s="414">
        <v>84</v>
      </c>
      <c r="O102" s="4"/>
      <c r="P102" s="12" t="str">
        <f t="shared" si="18"/>
        <v>TEF</v>
      </c>
      <c r="Q102" s="12" t="str">
        <f t="shared" si="19"/>
        <v/>
      </c>
      <c r="R102" s="13" t="str">
        <f t="shared" si="20"/>
        <v>_TEF_</v>
      </c>
      <c r="S102" s="13" t="str">
        <f t="shared" si="21"/>
        <v/>
      </c>
      <c r="T102" s="12" t="str">
        <f t="shared" si="22"/>
        <v/>
      </c>
      <c r="U102" s="12" t="str">
        <f t="shared" si="23"/>
        <v/>
      </c>
      <c r="V102" s="12" t="str">
        <f t="shared" si="16"/>
        <v>NO</v>
      </c>
      <c r="W102" s="14" t="str">
        <f t="shared" si="24"/>
        <v/>
      </c>
      <c r="X102" s="14" t="str">
        <f t="shared" si="17"/>
        <v/>
      </c>
      <c r="Y102" s="14" t="str">
        <f t="shared" si="25"/>
        <v/>
      </c>
      <c r="Z102" s="15" t="str">
        <f t="shared" si="26"/>
        <v/>
      </c>
      <c r="AA102" s="342">
        <f t="shared" si="27"/>
        <v>0</v>
      </c>
      <c r="AB102" s="342">
        <f t="shared" si="27"/>
        <v>0</v>
      </c>
      <c r="AC102" s="342">
        <f t="shared" si="28"/>
        <v>0</v>
      </c>
      <c r="AD102" s="342">
        <f t="shared" si="29"/>
        <v>0</v>
      </c>
    </row>
    <row r="103" spans="1:30" ht="12.75" customHeight="1" x14ac:dyDescent="0.2">
      <c r="A103" s="71">
        <v>85</v>
      </c>
      <c r="B103" s="17"/>
      <c r="C103" s="17"/>
      <c r="D103" s="17"/>
      <c r="E103" s="497"/>
      <c r="F103" s="497"/>
      <c r="G103" s="497"/>
      <c r="H103" s="497"/>
      <c r="I103" s="73"/>
      <c r="J103" s="492"/>
      <c r="K103" s="493" t="str">
        <f>IFERROR(VLOOKUP($R103,FeeLookup!$J$5:$L$33,2,FALSE),"")</f>
        <v/>
      </c>
      <c r="L103" s="493" t="str">
        <f>IFERROR(VLOOKUP($R103,FeeLookup!$J$5:$L$33,3,FALSE),"")</f>
        <v/>
      </c>
      <c r="M103" s="413" t="s">
        <v>65</v>
      </c>
      <c r="N103" s="414">
        <v>85</v>
      </c>
      <c r="O103" s="4"/>
      <c r="P103" s="12" t="str">
        <f t="shared" si="18"/>
        <v>TEF</v>
      </c>
      <c r="Q103" s="12" t="str">
        <f t="shared" si="19"/>
        <v/>
      </c>
      <c r="R103" s="13" t="str">
        <f t="shared" si="20"/>
        <v>_TEF_</v>
      </c>
      <c r="S103" s="13" t="str">
        <f t="shared" si="21"/>
        <v/>
      </c>
      <c r="T103" s="12" t="str">
        <f t="shared" si="22"/>
        <v/>
      </c>
      <c r="U103" s="12" t="str">
        <f t="shared" si="23"/>
        <v/>
      </c>
      <c r="V103" s="12" t="str">
        <f t="shared" si="16"/>
        <v>NO</v>
      </c>
      <c r="W103" s="14" t="str">
        <f t="shared" si="24"/>
        <v/>
      </c>
      <c r="X103" s="14" t="str">
        <f t="shared" si="17"/>
        <v/>
      </c>
      <c r="Y103" s="14" t="str">
        <f t="shared" si="25"/>
        <v/>
      </c>
      <c r="Z103" s="15" t="str">
        <f t="shared" si="26"/>
        <v/>
      </c>
      <c r="AA103" s="342">
        <f t="shared" si="27"/>
        <v>0</v>
      </c>
      <c r="AB103" s="342">
        <f t="shared" si="27"/>
        <v>0</v>
      </c>
      <c r="AC103" s="342">
        <f t="shared" si="28"/>
        <v>0</v>
      </c>
      <c r="AD103" s="342">
        <f t="shared" si="29"/>
        <v>0</v>
      </c>
    </row>
    <row r="104" spans="1:30" ht="12.75" customHeight="1" x14ac:dyDescent="0.2">
      <c r="A104" s="71">
        <v>86</v>
      </c>
      <c r="B104" s="17"/>
      <c r="C104" s="17"/>
      <c r="D104" s="17"/>
      <c r="E104" s="497"/>
      <c r="F104" s="497"/>
      <c r="G104" s="497"/>
      <c r="H104" s="497"/>
      <c r="I104" s="73"/>
      <c r="J104" s="492"/>
      <c r="K104" s="493" t="str">
        <f>IFERROR(VLOOKUP($R104,FeeLookup!$J$5:$L$33,2,FALSE),"")</f>
        <v/>
      </c>
      <c r="L104" s="493" t="str">
        <f>IFERROR(VLOOKUP($R104,FeeLookup!$J$5:$L$33,3,FALSE),"")</f>
        <v/>
      </c>
      <c r="M104" s="413" t="s">
        <v>65</v>
      </c>
      <c r="N104" s="414">
        <v>86</v>
      </c>
      <c r="O104" s="4"/>
      <c r="P104" s="12" t="str">
        <f t="shared" si="18"/>
        <v>TEF</v>
      </c>
      <c r="Q104" s="12" t="str">
        <f t="shared" si="19"/>
        <v/>
      </c>
      <c r="R104" s="13" t="str">
        <f t="shared" si="20"/>
        <v>_TEF_</v>
      </c>
      <c r="S104" s="13" t="str">
        <f t="shared" si="21"/>
        <v/>
      </c>
      <c r="T104" s="12" t="str">
        <f t="shared" si="22"/>
        <v/>
      </c>
      <c r="U104" s="12" t="str">
        <f t="shared" si="23"/>
        <v/>
      </c>
      <c r="V104" s="12" t="str">
        <f t="shared" si="16"/>
        <v>NO</v>
      </c>
      <c r="W104" s="14" t="str">
        <f t="shared" si="24"/>
        <v/>
      </c>
      <c r="X104" s="14" t="str">
        <f t="shared" si="17"/>
        <v/>
      </c>
      <c r="Y104" s="14" t="str">
        <f t="shared" si="25"/>
        <v/>
      </c>
      <c r="Z104" s="15" t="str">
        <f t="shared" si="26"/>
        <v/>
      </c>
      <c r="AA104" s="342">
        <f t="shared" si="27"/>
        <v>0</v>
      </c>
      <c r="AB104" s="342">
        <f t="shared" si="27"/>
        <v>0</v>
      </c>
      <c r="AC104" s="342">
        <f t="shared" si="28"/>
        <v>0</v>
      </c>
      <c r="AD104" s="342">
        <f t="shared" si="29"/>
        <v>0</v>
      </c>
    </row>
    <row r="105" spans="1:30" ht="12.75" customHeight="1" x14ac:dyDescent="0.2">
      <c r="A105" s="71">
        <v>87</v>
      </c>
      <c r="B105" s="17"/>
      <c r="C105" s="17"/>
      <c r="D105" s="17"/>
      <c r="E105" s="497"/>
      <c r="F105" s="497"/>
      <c r="G105" s="497"/>
      <c r="H105" s="497"/>
      <c r="I105" s="73"/>
      <c r="J105" s="492"/>
      <c r="K105" s="493" t="str">
        <f>IFERROR(VLOOKUP($R105,FeeLookup!$J$5:$L$33,2,FALSE),"")</f>
        <v/>
      </c>
      <c r="L105" s="493" t="str">
        <f>IFERROR(VLOOKUP($R105,FeeLookup!$J$5:$L$33,3,FALSE),"")</f>
        <v/>
      </c>
      <c r="M105" s="413" t="s">
        <v>65</v>
      </c>
      <c r="N105" s="414">
        <v>87</v>
      </c>
      <c r="O105" s="4"/>
      <c r="P105" s="12" t="str">
        <f t="shared" si="18"/>
        <v>TEF</v>
      </c>
      <c r="Q105" s="12" t="str">
        <f t="shared" si="19"/>
        <v/>
      </c>
      <c r="R105" s="13" t="str">
        <f t="shared" si="20"/>
        <v>_TEF_</v>
      </c>
      <c r="S105" s="13" t="str">
        <f t="shared" si="21"/>
        <v/>
      </c>
      <c r="T105" s="12" t="str">
        <f t="shared" si="22"/>
        <v/>
      </c>
      <c r="U105" s="12" t="str">
        <f t="shared" si="23"/>
        <v/>
      </c>
      <c r="V105" s="12" t="str">
        <f t="shared" si="16"/>
        <v>NO</v>
      </c>
      <c r="W105" s="14" t="str">
        <f t="shared" si="24"/>
        <v/>
      </c>
      <c r="X105" s="14" t="str">
        <f t="shared" si="17"/>
        <v/>
      </c>
      <c r="Y105" s="14" t="str">
        <f t="shared" si="25"/>
        <v/>
      </c>
      <c r="Z105" s="15" t="str">
        <f t="shared" si="26"/>
        <v/>
      </c>
      <c r="AA105" s="342">
        <f t="shared" si="27"/>
        <v>0</v>
      </c>
      <c r="AB105" s="342">
        <f t="shared" si="27"/>
        <v>0</v>
      </c>
      <c r="AC105" s="342">
        <f t="shared" si="28"/>
        <v>0</v>
      </c>
      <c r="AD105" s="342">
        <f t="shared" si="29"/>
        <v>0</v>
      </c>
    </row>
    <row r="106" spans="1:30" ht="12.75" customHeight="1" x14ac:dyDescent="0.2">
      <c r="A106" s="71">
        <v>88</v>
      </c>
      <c r="B106" s="17"/>
      <c r="C106" s="17"/>
      <c r="D106" s="17"/>
      <c r="E106" s="497"/>
      <c r="F106" s="497"/>
      <c r="G106" s="497"/>
      <c r="H106" s="497"/>
      <c r="I106" s="73"/>
      <c r="J106" s="492"/>
      <c r="K106" s="493" t="str">
        <f>IFERROR(VLOOKUP($R106,FeeLookup!$J$5:$L$33,2,FALSE),"")</f>
        <v/>
      </c>
      <c r="L106" s="493" t="str">
        <f>IFERROR(VLOOKUP($R106,FeeLookup!$J$5:$L$33,3,FALSE),"")</f>
        <v/>
      </c>
      <c r="M106" s="413" t="s">
        <v>65</v>
      </c>
      <c r="N106" s="414">
        <v>88</v>
      </c>
      <c r="O106" s="4"/>
      <c r="P106" s="12" t="str">
        <f t="shared" si="18"/>
        <v>TEF</v>
      </c>
      <c r="Q106" s="12" t="str">
        <f t="shared" si="19"/>
        <v/>
      </c>
      <c r="R106" s="13" t="str">
        <f t="shared" si="20"/>
        <v>_TEF_</v>
      </c>
      <c r="S106" s="13" t="str">
        <f t="shared" si="21"/>
        <v/>
      </c>
      <c r="T106" s="12" t="str">
        <f t="shared" si="22"/>
        <v/>
      </c>
      <c r="U106" s="12" t="str">
        <f t="shared" si="23"/>
        <v/>
      </c>
      <c r="V106" s="12" t="str">
        <f t="shared" si="16"/>
        <v>NO</v>
      </c>
      <c r="W106" s="14" t="str">
        <f t="shared" si="24"/>
        <v/>
      </c>
      <c r="X106" s="14" t="str">
        <f t="shared" si="17"/>
        <v/>
      </c>
      <c r="Y106" s="14" t="str">
        <f t="shared" si="25"/>
        <v/>
      </c>
      <c r="Z106" s="15" t="str">
        <f t="shared" si="26"/>
        <v/>
      </c>
      <c r="AA106" s="342">
        <f t="shared" si="27"/>
        <v>0</v>
      </c>
      <c r="AB106" s="342">
        <f t="shared" si="27"/>
        <v>0</v>
      </c>
      <c r="AC106" s="342">
        <f t="shared" si="28"/>
        <v>0</v>
      </c>
      <c r="AD106" s="342">
        <f t="shared" si="29"/>
        <v>0</v>
      </c>
    </row>
    <row r="107" spans="1:30" ht="12.75" customHeight="1" x14ac:dyDescent="0.2">
      <c r="A107" s="71">
        <v>89</v>
      </c>
      <c r="B107" s="17"/>
      <c r="C107" s="17"/>
      <c r="D107" s="17"/>
      <c r="E107" s="497"/>
      <c r="F107" s="497"/>
      <c r="G107" s="497"/>
      <c r="H107" s="497"/>
      <c r="I107" s="73"/>
      <c r="J107" s="492"/>
      <c r="K107" s="493" t="str">
        <f>IFERROR(VLOOKUP($R107,FeeLookup!$J$5:$L$33,2,FALSE),"")</f>
        <v/>
      </c>
      <c r="L107" s="493" t="str">
        <f>IFERROR(VLOOKUP($R107,FeeLookup!$J$5:$L$33,3,FALSE),"")</f>
        <v/>
      </c>
      <c r="M107" s="413" t="s">
        <v>65</v>
      </c>
      <c r="N107" s="414">
        <v>89</v>
      </c>
      <c r="O107" s="4"/>
      <c r="P107" s="12" t="str">
        <f t="shared" si="18"/>
        <v>TEF</v>
      </c>
      <c r="Q107" s="12" t="str">
        <f t="shared" si="19"/>
        <v/>
      </c>
      <c r="R107" s="13" t="str">
        <f t="shared" si="20"/>
        <v>_TEF_</v>
      </c>
      <c r="S107" s="13" t="str">
        <f t="shared" si="21"/>
        <v/>
      </c>
      <c r="T107" s="12" t="str">
        <f t="shared" si="22"/>
        <v/>
      </c>
      <c r="U107" s="12" t="str">
        <f t="shared" si="23"/>
        <v/>
      </c>
      <c r="V107" s="12" t="str">
        <f t="shared" si="16"/>
        <v>NO</v>
      </c>
      <c r="W107" s="14" t="str">
        <f t="shared" si="24"/>
        <v/>
      </c>
      <c r="X107" s="14" t="str">
        <f t="shared" si="17"/>
        <v/>
      </c>
      <c r="Y107" s="14" t="str">
        <f t="shared" si="25"/>
        <v/>
      </c>
      <c r="Z107" s="15" t="str">
        <f t="shared" si="26"/>
        <v/>
      </c>
      <c r="AA107" s="342">
        <f t="shared" si="27"/>
        <v>0</v>
      </c>
      <c r="AB107" s="342">
        <f t="shared" si="27"/>
        <v>0</v>
      </c>
      <c r="AC107" s="342">
        <f t="shared" si="28"/>
        <v>0</v>
      </c>
      <c r="AD107" s="342">
        <f t="shared" si="29"/>
        <v>0</v>
      </c>
    </row>
    <row r="108" spans="1:30" ht="12.75" customHeight="1" x14ac:dyDescent="0.2">
      <c r="A108" s="71">
        <v>90</v>
      </c>
      <c r="B108" s="17"/>
      <c r="C108" s="17"/>
      <c r="D108" s="17"/>
      <c r="E108" s="497"/>
      <c r="F108" s="497"/>
      <c r="G108" s="497"/>
      <c r="H108" s="497"/>
      <c r="I108" s="73"/>
      <c r="J108" s="492"/>
      <c r="K108" s="493" t="str">
        <f>IFERROR(VLOOKUP($R108,FeeLookup!$J$5:$L$33,2,FALSE),"")</f>
        <v/>
      </c>
      <c r="L108" s="493" t="str">
        <f>IFERROR(VLOOKUP($R108,FeeLookup!$J$5:$L$33,3,FALSE),"")</f>
        <v/>
      </c>
      <c r="M108" s="413" t="s">
        <v>65</v>
      </c>
      <c r="N108" s="414">
        <v>90</v>
      </c>
      <c r="O108" s="4"/>
      <c r="P108" s="12" t="str">
        <f t="shared" si="18"/>
        <v>TEF</v>
      </c>
      <c r="Q108" s="12" t="str">
        <f t="shared" si="19"/>
        <v/>
      </c>
      <c r="R108" s="13" t="str">
        <f t="shared" si="20"/>
        <v>_TEF_</v>
      </c>
      <c r="S108" s="13" t="str">
        <f t="shared" si="21"/>
        <v/>
      </c>
      <c r="T108" s="12" t="str">
        <f t="shared" si="22"/>
        <v/>
      </c>
      <c r="U108" s="12" t="str">
        <f t="shared" si="23"/>
        <v/>
      </c>
      <c r="V108" s="12" t="str">
        <f t="shared" si="16"/>
        <v>NO</v>
      </c>
      <c r="W108" s="14" t="str">
        <f t="shared" si="24"/>
        <v/>
      </c>
      <c r="X108" s="14" t="str">
        <f t="shared" si="17"/>
        <v/>
      </c>
      <c r="Y108" s="14" t="str">
        <f t="shared" si="25"/>
        <v/>
      </c>
      <c r="Z108" s="15" t="str">
        <f t="shared" si="26"/>
        <v/>
      </c>
      <c r="AA108" s="342">
        <f t="shared" si="27"/>
        <v>0</v>
      </c>
      <c r="AB108" s="342">
        <f t="shared" si="27"/>
        <v>0</v>
      </c>
      <c r="AC108" s="342">
        <f t="shared" si="28"/>
        <v>0</v>
      </c>
      <c r="AD108" s="342">
        <f t="shared" si="29"/>
        <v>0</v>
      </c>
    </row>
    <row r="109" spans="1:30" ht="12.75" customHeight="1" x14ac:dyDescent="0.2">
      <c r="A109" s="71">
        <v>91</v>
      </c>
      <c r="B109" s="17"/>
      <c r="C109" s="17"/>
      <c r="D109" s="17"/>
      <c r="E109" s="497"/>
      <c r="F109" s="497"/>
      <c r="G109" s="497"/>
      <c r="H109" s="497"/>
      <c r="I109" s="73"/>
      <c r="J109" s="492"/>
      <c r="K109" s="493" t="str">
        <f>IFERROR(VLOOKUP($R109,FeeLookup!$J$5:$L$33,2,FALSE),"")</f>
        <v/>
      </c>
      <c r="L109" s="493" t="str">
        <f>IFERROR(VLOOKUP($R109,FeeLookup!$J$5:$L$33,3,FALSE),"")</f>
        <v/>
      </c>
      <c r="M109" s="413" t="s">
        <v>65</v>
      </c>
      <c r="N109" s="414">
        <v>91</v>
      </c>
      <c r="O109" s="4"/>
      <c r="P109" s="12" t="str">
        <f t="shared" si="18"/>
        <v>TEF</v>
      </c>
      <c r="Q109" s="12" t="str">
        <f t="shared" si="19"/>
        <v/>
      </c>
      <c r="R109" s="13" t="str">
        <f t="shared" si="20"/>
        <v>_TEF_</v>
      </c>
      <c r="S109" s="13" t="str">
        <f t="shared" si="21"/>
        <v/>
      </c>
      <c r="T109" s="12" t="str">
        <f t="shared" si="22"/>
        <v/>
      </c>
      <c r="U109" s="12" t="str">
        <f t="shared" si="23"/>
        <v/>
      </c>
      <c r="V109" s="12" t="str">
        <f t="shared" si="16"/>
        <v>NO</v>
      </c>
      <c r="W109" s="14" t="str">
        <f t="shared" si="24"/>
        <v/>
      </c>
      <c r="X109" s="14" t="str">
        <f t="shared" si="17"/>
        <v/>
      </c>
      <c r="Y109" s="14" t="str">
        <f t="shared" si="25"/>
        <v/>
      </c>
      <c r="Z109" s="15" t="str">
        <f t="shared" si="26"/>
        <v/>
      </c>
      <c r="AA109" s="342">
        <f t="shared" si="27"/>
        <v>0</v>
      </c>
      <c r="AB109" s="342">
        <f t="shared" si="27"/>
        <v>0</v>
      </c>
      <c r="AC109" s="342">
        <f t="shared" si="28"/>
        <v>0</v>
      </c>
      <c r="AD109" s="342">
        <f t="shared" si="29"/>
        <v>0</v>
      </c>
    </row>
    <row r="110" spans="1:30" ht="12.75" customHeight="1" x14ac:dyDescent="0.2">
      <c r="A110" s="71">
        <v>92</v>
      </c>
      <c r="B110" s="17"/>
      <c r="C110" s="17"/>
      <c r="D110" s="17"/>
      <c r="E110" s="497"/>
      <c r="F110" s="497"/>
      <c r="G110" s="497"/>
      <c r="H110" s="497"/>
      <c r="I110" s="73"/>
      <c r="J110" s="492"/>
      <c r="K110" s="493" t="str">
        <f>IFERROR(VLOOKUP($R110,FeeLookup!$J$5:$L$33,2,FALSE),"")</f>
        <v/>
      </c>
      <c r="L110" s="493" t="str">
        <f>IFERROR(VLOOKUP($R110,FeeLookup!$J$5:$L$33,3,FALSE),"")</f>
        <v/>
      </c>
      <c r="M110" s="413" t="s">
        <v>65</v>
      </c>
      <c r="N110" s="414">
        <v>92</v>
      </c>
      <c r="O110" s="4"/>
      <c r="P110" s="12" t="str">
        <f t="shared" si="18"/>
        <v>TEF</v>
      </c>
      <c r="Q110" s="12" t="str">
        <f t="shared" si="19"/>
        <v/>
      </c>
      <c r="R110" s="13" t="str">
        <f t="shared" si="20"/>
        <v>_TEF_</v>
      </c>
      <c r="S110" s="13" t="str">
        <f t="shared" si="21"/>
        <v/>
      </c>
      <c r="T110" s="12" t="str">
        <f t="shared" si="22"/>
        <v/>
      </c>
      <c r="U110" s="12" t="str">
        <f t="shared" si="23"/>
        <v/>
      </c>
      <c r="V110" s="12" t="str">
        <f t="shared" si="16"/>
        <v>NO</v>
      </c>
      <c r="W110" s="14" t="str">
        <f t="shared" si="24"/>
        <v/>
      </c>
      <c r="X110" s="14" t="str">
        <f t="shared" si="17"/>
        <v/>
      </c>
      <c r="Y110" s="14" t="str">
        <f t="shared" si="25"/>
        <v/>
      </c>
      <c r="Z110" s="15" t="str">
        <f t="shared" si="26"/>
        <v/>
      </c>
      <c r="AA110" s="342">
        <f t="shared" si="27"/>
        <v>0</v>
      </c>
      <c r="AB110" s="342">
        <f t="shared" si="27"/>
        <v>0</v>
      </c>
      <c r="AC110" s="342">
        <f t="shared" si="28"/>
        <v>0</v>
      </c>
      <c r="AD110" s="342">
        <f t="shared" si="29"/>
        <v>0</v>
      </c>
    </row>
    <row r="111" spans="1:30" ht="12.75" customHeight="1" x14ac:dyDescent="0.2">
      <c r="A111" s="71">
        <v>93</v>
      </c>
      <c r="B111" s="17"/>
      <c r="C111" s="17"/>
      <c r="D111" s="17"/>
      <c r="E111" s="497"/>
      <c r="F111" s="497"/>
      <c r="G111" s="497"/>
      <c r="H111" s="497"/>
      <c r="I111" s="73"/>
      <c r="J111" s="492"/>
      <c r="K111" s="493" t="str">
        <f>IFERROR(VLOOKUP($R111,FeeLookup!$J$5:$L$33,2,FALSE),"")</f>
        <v/>
      </c>
      <c r="L111" s="493" t="str">
        <f>IFERROR(VLOOKUP($R111,FeeLookup!$J$5:$L$33,3,FALSE),"")</f>
        <v/>
      </c>
      <c r="M111" s="413" t="s">
        <v>65</v>
      </c>
      <c r="N111" s="414">
        <v>93</v>
      </c>
      <c r="O111" s="4"/>
      <c r="P111" s="12" t="str">
        <f t="shared" si="18"/>
        <v>TEF</v>
      </c>
      <c r="Q111" s="12" t="str">
        <f t="shared" si="19"/>
        <v/>
      </c>
      <c r="R111" s="13" t="str">
        <f t="shared" si="20"/>
        <v>_TEF_</v>
      </c>
      <c r="S111" s="13" t="str">
        <f t="shared" si="21"/>
        <v/>
      </c>
      <c r="T111" s="12" t="str">
        <f t="shared" si="22"/>
        <v/>
      </c>
      <c r="U111" s="12" t="str">
        <f t="shared" si="23"/>
        <v/>
      </c>
      <c r="V111" s="12" t="str">
        <f t="shared" si="16"/>
        <v>NO</v>
      </c>
      <c r="W111" s="14" t="str">
        <f t="shared" si="24"/>
        <v/>
      </c>
      <c r="X111" s="14" t="str">
        <f t="shared" si="17"/>
        <v/>
      </c>
      <c r="Y111" s="14" t="str">
        <f t="shared" si="25"/>
        <v/>
      </c>
      <c r="Z111" s="15" t="str">
        <f t="shared" si="26"/>
        <v/>
      </c>
      <c r="AA111" s="342">
        <f t="shared" si="27"/>
        <v>0</v>
      </c>
      <c r="AB111" s="342">
        <f t="shared" si="27"/>
        <v>0</v>
      </c>
      <c r="AC111" s="342">
        <f t="shared" si="28"/>
        <v>0</v>
      </c>
      <c r="AD111" s="342">
        <f t="shared" si="29"/>
        <v>0</v>
      </c>
    </row>
    <row r="112" spans="1:30" ht="12.75" customHeight="1" x14ac:dyDescent="0.2">
      <c r="A112" s="71">
        <v>94</v>
      </c>
      <c r="B112" s="17"/>
      <c r="C112" s="17"/>
      <c r="D112" s="17"/>
      <c r="E112" s="497"/>
      <c r="F112" s="497"/>
      <c r="G112" s="497"/>
      <c r="H112" s="497"/>
      <c r="I112" s="73"/>
      <c r="J112" s="492"/>
      <c r="K112" s="493" t="str">
        <f>IFERROR(VLOOKUP($R112,FeeLookup!$J$5:$L$33,2,FALSE),"")</f>
        <v/>
      </c>
      <c r="L112" s="493" t="str">
        <f>IFERROR(VLOOKUP($R112,FeeLookup!$J$5:$L$33,3,FALSE),"")</f>
        <v/>
      </c>
      <c r="M112" s="413" t="s">
        <v>65</v>
      </c>
      <c r="N112" s="414">
        <v>94</v>
      </c>
      <c r="O112" s="4"/>
      <c r="P112" s="12" t="str">
        <f t="shared" si="18"/>
        <v>TEF</v>
      </c>
      <c r="Q112" s="12" t="str">
        <f t="shared" si="19"/>
        <v/>
      </c>
      <c r="R112" s="13" t="str">
        <f t="shared" si="20"/>
        <v>_TEF_</v>
      </c>
      <c r="S112" s="13" t="str">
        <f t="shared" si="21"/>
        <v/>
      </c>
      <c r="T112" s="12" t="str">
        <f t="shared" si="22"/>
        <v/>
      </c>
      <c r="U112" s="12" t="str">
        <f t="shared" si="23"/>
        <v/>
      </c>
      <c r="V112" s="12" t="str">
        <f t="shared" si="16"/>
        <v>NO</v>
      </c>
      <c r="W112" s="14" t="str">
        <f t="shared" si="24"/>
        <v/>
      </c>
      <c r="X112" s="14" t="str">
        <f t="shared" si="17"/>
        <v/>
      </c>
      <c r="Y112" s="14" t="str">
        <f t="shared" si="25"/>
        <v/>
      </c>
      <c r="Z112" s="15" t="str">
        <f t="shared" si="26"/>
        <v/>
      </c>
      <c r="AA112" s="342">
        <f t="shared" si="27"/>
        <v>0</v>
      </c>
      <c r="AB112" s="342">
        <f t="shared" si="27"/>
        <v>0</v>
      </c>
      <c r="AC112" s="342">
        <f t="shared" si="28"/>
        <v>0</v>
      </c>
      <c r="AD112" s="342">
        <f t="shared" si="29"/>
        <v>0</v>
      </c>
    </row>
    <row r="113" spans="1:30" ht="12.75" customHeight="1" x14ac:dyDescent="0.2">
      <c r="A113" s="71">
        <v>95</v>
      </c>
      <c r="B113" s="17"/>
      <c r="C113" s="17"/>
      <c r="D113" s="17"/>
      <c r="E113" s="497"/>
      <c r="F113" s="497"/>
      <c r="G113" s="497"/>
      <c r="H113" s="497"/>
      <c r="I113" s="73"/>
      <c r="J113" s="492"/>
      <c r="K113" s="493" t="str">
        <f>IFERROR(VLOOKUP($R113,FeeLookup!$J$5:$L$33,2,FALSE),"")</f>
        <v/>
      </c>
      <c r="L113" s="493" t="str">
        <f>IFERROR(VLOOKUP($R113,FeeLookup!$J$5:$L$33,3,FALSE),"")</f>
        <v/>
      </c>
      <c r="M113" s="413" t="s">
        <v>65</v>
      </c>
      <c r="N113" s="414">
        <v>95</v>
      </c>
      <c r="O113" s="4"/>
      <c r="P113" s="12" t="str">
        <f t="shared" si="18"/>
        <v>TEF</v>
      </c>
      <c r="Q113" s="12" t="str">
        <f t="shared" si="19"/>
        <v/>
      </c>
      <c r="R113" s="13" t="str">
        <f t="shared" si="20"/>
        <v>_TEF_</v>
      </c>
      <c r="S113" s="13" t="str">
        <f t="shared" si="21"/>
        <v/>
      </c>
      <c r="T113" s="12" t="str">
        <f t="shared" si="22"/>
        <v/>
      </c>
      <c r="U113" s="12" t="str">
        <f t="shared" si="23"/>
        <v/>
      </c>
      <c r="V113" s="12" t="str">
        <f t="shared" si="16"/>
        <v>NO</v>
      </c>
      <c r="W113" s="14" t="str">
        <f t="shared" si="24"/>
        <v/>
      </c>
      <c r="X113" s="14" t="str">
        <f t="shared" si="17"/>
        <v/>
      </c>
      <c r="Y113" s="14" t="str">
        <f t="shared" si="25"/>
        <v/>
      </c>
      <c r="Z113" s="15" t="str">
        <f t="shared" si="26"/>
        <v/>
      </c>
      <c r="AA113" s="342">
        <f t="shared" si="27"/>
        <v>0</v>
      </c>
      <c r="AB113" s="342">
        <f t="shared" si="27"/>
        <v>0</v>
      </c>
      <c r="AC113" s="342">
        <f t="shared" si="28"/>
        <v>0</v>
      </c>
      <c r="AD113" s="342">
        <f t="shared" si="29"/>
        <v>0</v>
      </c>
    </row>
    <row r="114" spans="1:30" ht="12.75" customHeight="1" x14ac:dyDescent="0.2">
      <c r="A114" s="71">
        <v>96</v>
      </c>
      <c r="B114" s="17"/>
      <c r="C114" s="17"/>
      <c r="D114" s="17"/>
      <c r="E114" s="497"/>
      <c r="F114" s="497"/>
      <c r="G114" s="497"/>
      <c r="H114" s="497"/>
      <c r="I114" s="73"/>
      <c r="J114" s="492"/>
      <c r="K114" s="493" t="str">
        <f>IFERROR(VLOOKUP($R114,FeeLookup!$J$5:$L$33,2,FALSE),"")</f>
        <v/>
      </c>
      <c r="L114" s="493" t="str">
        <f>IFERROR(VLOOKUP($R114,FeeLookup!$J$5:$L$33,3,FALSE),"")</f>
        <v/>
      </c>
      <c r="M114" s="413" t="s">
        <v>65</v>
      </c>
      <c r="N114" s="414">
        <v>96</v>
      </c>
      <c r="O114" s="4"/>
      <c r="P114" s="12" t="str">
        <f t="shared" si="18"/>
        <v>TEF</v>
      </c>
      <c r="Q114" s="12" t="str">
        <f t="shared" si="19"/>
        <v/>
      </c>
      <c r="R114" s="13" t="str">
        <f t="shared" si="20"/>
        <v>_TEF_</v>
      </c>
      <c r="S114" s="13" t="str">
        <f t="shared" si="21"/>
        <v/>
      </c>
      <c r="T114" s="12" t="str">
        <f t="shared" si="22"/>
        <v/>
      </c>
      <c r="U114" s="12" t="str">
        <f t="shared" si="23"/>
        <v/>
      </c>
      <c r="V114" s="12" t="str">
        <f t="shared" si="16"/>
        <v>NO</v>
      </c>
      <c r="W114" s="14" t="str">
        <f t="shared" si="24"/>
        <v/>
      </c>
      <c r="X114" s="14" t="str">
        <f t="shared" si="17"/>
        <v/>
      </c>
      <c r="Y114" s="14" t="str">
        <f t="shared" si="25"/>
        <v/>
      </c>
      <c r="Z114" s="15" t="str">
        <f t="shared" si="26"/>
        <v/>
      </c>
      <c r="AA114" s="342">
        <f t="shared" si="27"/>
        <v>0</v>
      </c>
      <c r="AB114" s="342">
        <f t="shared" si="27"/>
        <v>0</v>
      </c>
      <c r="AC114" s="342">
        <f t="shared" si="28"/>
        <v>0</v>
      </c>
      <c r="AD114" s="342">
        <f t="shared" si="29"/>
        <v>0</v>
      </c>
    </row>
    <row r="115" spans="1:30" ht="12.75" customHeight="1" x14ac:dyDescent="0.2">
      <c r="A115" s="71">
        <v>97</v>
      </c>
      <c r="B115" s="17"/>
      <c r="C115" s="17"/>
      <c r="D115" s="17"/>
      <c r="E115" s="497"/>
      <c r="F115" s="497"/>
      <c r="G115" s="497"/>
      <c r="H115" s="497"/>
      <c r="I115" s="73"/>
      <c r="J115" s="492"/>
      <c r="K115" s="493" t="str">
        <f>IFERROR(VLOOKUP($R115,FeeLookup!$J$5:$L$33,2,FALSE),"")</f>
        <v/>
      </c>
      <c r="L115" s="493" t="str">
        <f>IFERROR(VLOOKUP($R115,FeeLookup!$J$5:$L$33,3,FALSE),"")</f>
        <v/>
      </c>
      <c r="M115" s="413" t="s">
        <v>65</v>
      </c>
      <c r="N115" s="414">
        <v>97</v>
      </c>
      <c r="O115" s="4"/>
      <c r="P115" s="12" t="str">
        <f t="shared" si="18"/>
        <v>TEF</v>
      </c>
      <c r="Q115" s="12" t="str">
        <f t="shared" si="19"/>
        <v/>
      </c>
      <c r="R115" s="13" t="str">
        <f t="shared" si="20"/>
        <v>_TEF_</v>
      </c>
      <c r="S115" s="13" t="str">
        <f t="shared" si="21"/>
        <v/>
      </c>
      <c r="T115" s="12" t="str">
        <f t="shared" si="22"/>
        <v/>
      </c>
      <c r="U115" s="12" t="str">
        <f t="shared" si="23"/>
        <v/>
      </c>
      <c r="V115" s="12" t="str">
        <f t="shared" ref="V115:V146" si="30">IF(COUNTBLANK(B115:J115)=9,"NO","YES")</f>
        <v>NO</v>
      </c>
      <c r="W115" s="14" t="str">
        <f t="shared" si="24"/>
        <v/>
      </c>
      <c r="X115" s="14" t="str">
        <f t="shared" si="17"/>
        <v/>
      </c>
      <c r="Y115" s="14" t="str">
        <f t="shared" si="25"/>
        <v/>
      </c>
      <c r="Z115" s="15" t="str">
        <f t="shared" si="26"/>
        <v/>
      </c>
      <c r="AA115" s="342">
        <f t="shared" si="27"/>
        <v>0</v>
      </c>
      <c r="AB115" s="342">
        <f t="shared" si="27"/>
        <v>0</v>
      </c>
      <c r="AC115" s="342">
        <f t="shared" si="28"/>
        <v>0</v>
      </c>
      <c r="AD115" s="342">
        <f t="shared" si="29"/>
        <v>0</v>
      </c>
    </row>
    <row r="116" spans="1:30" ht="12.75" customHeight="1" x14ac:dyDescent="0.2">
      <c r="A116" s="71">
        <v>98</v>
      </c>
      <c r="B116" s="17"/>
      <c r="C116" s="17"/>
      <c r="D116" s="17"/>
      <c r="E116" s="497"/>
      <c r="F116" s="497"/>
      <c r="G116" s="497"/>
      <c r="H116" s="497"/>
      <c r="I116" s="73"/>
      <c r="J116" s="492"/>
      <c r="K116" s="493" t="str">
        <f>IFERROR(VLOOKUP($R116,FeeLookup!$J$5:$L$33,2,FALSE),"")</f>
        <v/>
      </c>
      <c r="L116" s="493" t="str">
        <f>IFERROR(VLOOKUP($R116,FeeLookup!$J$5:$L$33,3,FALSE),"")</f>
        <v/>
      </c>
      <c r="M116" s="413" t="s">
        <v>65</v>
      </c>
      <c r="N116" s="414">
        <v>98</v>
      </c>
      <c r="O116" s="4"/>
      <c r="P116" s="12" t="str">
        <f t="shared" si="18"/>
        <v>TEF</v>
      </c>
      <c r="Q116" s="12" t="str">
        <f t="shared" si="19"/>
        <v/>
      </c>
      <c r="R116" s="13" t="str">
        <f t="shared" si="20"/>
        <v>_TEF_</v>
      </c>
      <c r="S116" s="13" t="str">
        <f t="shared" si="21"/>
        <v/>
      </c>
      <c r="T116" s="12" t="str">
        <f t="shared" si="22"/>
        <v/>
      </c>
      <c r="U116" s="12" t="str">
        <f t="shared" si="23"/>
        <v/>
      </c>
      <c r="V116" s="12" t="str">
        <f t="shared" si="30"/>
        <v>NO</v>
      </c>
      <c r="W116" s="14" t="str">
        <f t="shared" si="24"/>
        <v/>
      </c>
      <c r="X116" s="14" t="str">
        <f t="shared" si="17"/>
        <v/>
      </c>
      <c r="Y116" s="14" t="str">
        <f t="shared" si="25"/>
        <v/>
      </c>
      <c r="Z116" s="15" t="str">
        <f t="shared" si="26"/>
        <v/>
      </c>
      <c r="AA116" s="342">
        <f t="shared" si="27"/>
        <v>0</v>
      </c>
      <c r="AB116" s="342">
        <f t="shared" si="27"/>
        <v>0</v>
      </c>
      <c r="AC116" s="342">
        <f t="shared" si="28"/>
        <v>0</v>
      </c>
      <c r="AD116" s="342">
        <f t="shared" si="29"/>
        <v>0</v>
      </c>
    </row>
    <row r="117" spans="1:30" ht="12.75" customHeight="1" x14ac:dyDescent="0.2">
      <c r="A117" s="71">
        <v>99</v>
      </c>
      <c r="B117" s="17"/>
      <c r="C117" s="17"/>
      <c r="D117" s="17"/>
      <c r="E117" s="497"/>
      <c r="F117" s="497"/>
      <c r="G117" s="497"/>
      <c r="H117" s="497"/>
      <c r="I117" s="73"/>
      <c r="J117" s="492"/>
      <c r="K117" s="493" t="str">
        <f>IFERROR(VLOOKUP($R117,FeeLookup!$J$5:$L$33,2,FALSE),"")</f>
        <v/>
      </c>
      <c r="L117" s="493" t="str">
        <f>IFERROR(VLOOKUP($R117,FeeLookup!$J$5:$L$33,3,FALSE),"")</f>
        <v/>
      </c>
      <c r="M117" s="413" t="s">
        <v>65</v>
      </c>
      <c r="N117" s="414">
        <v>99</v>
      </c>
      <c r="O117" s="4"/>
      <c r="P117" s="12" t="str">
        <f t="shared" si="18"/>
        <v>TEF</v>
      </c>
      <c r="Q117" s="12" t="str">
        <f t="shared" si="19"/>
        <v/>
      </c>
      <c r="R117" s="13" t="str">
        <f t="shared" si="20"/>
        <v>_TEF_</v>
      </c>
      <c r="S117" s="13" t="str">
        <f t="shared" si="21"/>
        <v/>
      </c>
      <c r="T117" s="12" t="str">
        <f t="shared" si="22"/>
        <v/>
      </c>
      <c r="U117" s="12" t="str">
        <f t="shared" si="23"/>
        <v/>
      </c>
      <c r="V117" s="12" t="str">
        <f t="shared" si="30"/>
        <v>NO</v>
      </c>
      <c r="W117" s="14" t="str">
        <f t="shared" si="24"/>
        <v/>
      </c>
      <c r="X117" s="14" t="str">
        <f t="shared" si="17"/>
        <v/>
      </c>
      <c r="Y117" s="14" t="str">
        <f t="shared" si="25"/>
        <v/>
      </c>
      <c r="Z117" s="15" t="str">
        <f t="shared" si="26"/>
        <v/>
      </c>
      <c r="AA117" s="342">
        <f t="shared" si="27"/>
        <v>0</v>
      </c>
      <c r="AB117" s="342">
        <f t="shared" si="27"/>
        <v>0</v>
      </c>
      <c r="AC117" s="342">
        <f t="shared" si="28"/>
        <v>0</v>
      </c>
      <c r="AD117" s="342">
        <f t="shared" si="29"/>
        <v>0</v>
      </c>
    </row>
    <row r="118" spans="1:30" ht="12.75" customHeight="1" x14ac:dyDescent="0.2">
      <c r="A118" s="71">
        <v>100</v>
      </c>
      <c r="B118" s="17"/>
      <c r="C118" s="17"/>
      <c r="D118" s="17"/>
      <c r="E118" s="497"/>
      <c r="F118" s="497"/>
      <c r="G118" s="497"/>
      <c r="H118" s="497"/>
      <c r="I118" s="73"/>
      <c r="J118" s="492"/>
      <c r="K118" s="493" t="str">
        <f>IFERROR(VLOOKUP($R118,FeeLookup!$J$5:$L$33,2,FALSE),"")</f>
        <v/>
      </c>
      <c r="L118" s="493" t="str">
        <f>IFERROR(VLOOKUP($R118,FeeLookup!$J$5:$L$33,3,FALSE),"")</f>
        <v/>
      </c>
      <c r="M118" s="413" t="s">
        <v>65</v>
      </c>
      <c r="N118" s="414">
        <v>100</v>
      </c>
      <c r="O118" s="4"/>
      <c r="P118" s="12" t="str">
        <f t="shared" si="18"/>
        <v>TEF</v>
      </c>
      <c r="Q118" s="12" t="str">
        <f t="shared" si="19"/>
        <v/>
      </c>
      <c r="R118" s="13" t="str">
        <f t="shared" si="20"/>
        <v>_TEF_</v>
      </c>
      <c r="S118" s="13" t="str">
        <f t="shared" si="21"/>
        <v/>
      </c>
      <c r="T118" s="12" t="str">
        <f t="shared" si="22"/>
        <v/>
      </c>
      <c r="U118" s="12" t="str">
        <f t="shared" si="23"/>
        <v/>
      </c>
      <c r="V118" s="12" t="str">
        <f t="shared" si="30"/>
        <v>NO</v>
      </c>
      <c r="W118" s="14" t="str">
        <f t="shared" si="24"/>
        <v/>
      </c>
      <c r="X118" s="14" t="str">
        <f t="shared" si="17"/>
        <v/>
      </c>
      <c r="Y118" s="14" t="str">
        <f t="shared" si="25"/>
        <v/>
      </c>
      <c r="Z118" s="15" t="str">
        <f t="shared" si="26"/>
        <v/>
      </c>
      <c r="AA118" s="342">
        <f t="shared" si="27"/>
        <v>0</v>
      </c>
      <c r="AB118" s="342">
        <f t="shared" si="27"/>
        <v>0</v>
      </c>
      <c r="AC118" s="342">
        <f t="shared" si="28"/>
        <v>0</v>
      </c>
      <c r="AD118" s="342">
        <f t="shared" si="29"/>
        <v>0</v>
      </c>
    </row>
    <row r="119" spans="1:30" ht="12.75" customHeight="1" x14ac:dyDescent="0.2">
      <c r="A119" s="71">
        <v>101</v>
      </c>
      <c r="B119" s="17"/>
      <c r="C119" s="17"/>
      <c r="D119" s="17"/>
      <c r="E119" s="497"/>
      <c r="F119" s="497"/>
      <c r="G119" s="497"/>
      <c r="H119" s="497"/>
      <c r="I119" s="73"/>
      <c r="J119" s="492"/>
      <c r="K119" s="493" t="str">
        <f>IFERROR(VLOOKUP($R119,FeeLookup!$J$5:$L$33,2,FALSE),"")</f>
        <v/>
      </c>
      <c r="L119" s="493" t="str">
        <f>IFERROR(VLOOKUP($R119,FeeLookup!$J$5:$L$33,3,FALSE),"")</f>
        <v/>
      </c>
      <c r="M119" s="413" t="s">
        <v>65</v>
      </c>
      <c r="N119" s="414">
        <v>101</v>
      </c>
      <c r="O119" s="4"/>
      <c r="P119" s="12" t="str">
        <f t="shared" si="18"/>
        <v>TEF</v>
      </c>
      <c r="Q119" s="12" t="str">
        <f t="shared" si="19"/>
        <v/>
      </c>
      <c r="R119" s="13" t="str">
        <f t="shared" si="20"/>
        <v>_TEF_</v>
      </c>
      <c r="S119" s="13" t="str">
        <f t="shared" si="21"/>
        <v/>
      </c>
      <c r="T119" s="12" t="str">
        <f t="shared" si="22"/>
        <v/>
      </c>
      <c r="U119" s="12" t="str">
        <f t="shared" si="23"/>
        <v/>
      </c>
      <c r="V119" s="12" t="str">
        <f t="shared" si="30"/>
        <v>NO</v>
      </c>
      <c r="W119" s="14" t="str">
        <f t="shared" si="24"/>
        <v/>
      </c>
      <c r="X119" s="14" t="str">
        <f t="shared" si="17"/>
        <v/>
      </c>
      <c r="Y119" s="14" t="str">
        <f t="shared" si="25"/>
        <v/>
      </c>
      <c r="Z119" s="15" t="str">
        <f t="shared" si="26"/>
        <v/>
      </c>
      <c r="AA119" s="342">
        <f t="shared" si="27"/>
        <v>0</v>
      </c>
      <c r="AB119" s="342">
        <f t="shared" si="27"/>
        <v>0</v>
      </c>
      <c r="AC119" s="342">
        <f t="shared" si="28"/>
        <v>0</v>
      </c>
      <c r="AD119" s="342">
        <f t="shared" si="29"/>
        <v>0</v>
      </c>
    </row>
    <row r="120" spans="1:30" ht="12.75" customHeight="1" x14ac:dyDescent="0.2">
      <c r="A120" s="71">
        <v>102</v>
      </c>
      <c r="B120" s="17"/>
      <c r="C120" s="17"/>
      <c r="D120" s="17"/>
      <c r="E120" s="497"/>
      <c r="F120" s="497"/>
      <c r="G120" s="497"/>
      <c r="H120" s="497"/>
      <c r="I120" s="73"/>
      <c r="J120" s="492"/>
      <c r="K120" s="493" t="str">
        <f>IFERROR(VLOOKUP($R120,FeeLookup!$J$5:$L$33,2,FALSE),"")</f>
        <v/>
      </c>
      <c r="L120" s="493" t="str">
        <f>IFERROR(VLOOKUP($R120,FeeLookup!$J$5:$L$33,3,FALSE),"")</f>
        <v/>
      </c>
      <c r="M120" s="413" t="s">
        <v>65</v>
      </c>
      <c r="N120" s="414">
        <v>102</v>
      </c>
      <c r="O120" s="4"/>
      <c r="P120" s="12" t="str">
        <f t="shared" si="18"/>
        <v>TEF</v>
      </c>
      <c r="Q120" s="12" t="str">
        <f t="shared" si="19"/>
        <v/>
      </c>
      <c r="R120" s="13" t="str">
        <f t="shared" si="20"/>
        <v>_TEF_</v>
      </c>
      <c r="S120" s="13" t="str">
        <f t="shared" si="21"/>
        <v/>
      </c>
      <c r="T120" s="12" t="str">
        <f t="shared" si="22"/>
        <v/>
      </c>
      <c r="U120" s="12" t="str">
        <f t="shared" si="23"/>
        <v/>
      </c>
      <c r="V120" s="12" t="str">
        <f t="shared" si="30"/>
        <v>NO</v>
      </c>
      <c r="W120" s="14" t="str">
        <f t="shared" si="24"/>
        <v/>
      </c>
      <c r="X120" s="14" t="str">
        <f t="shared" si="17"/>
        <v/>
      </c>
      <c r="Y120" s="14" t="str">
        <f t="shared" si="25"/>
        <v/>
      </c>
      <c r="Z120" s="15" t="str">
        <f t="shared" si="26"/>
        <v/>
      </c>
      <c r="AA120" s="342">
        <f t="shared" si="27"/>
        <v>0</v>
      </c>
      <c r="AB120" s="342">
        <f t="shared" si="27"/>
        <v>0</v>
      </c>
      <c r="AC120" s="342">
        <f t="shared" si="28"/>
        <v>0</v>
      </c>
      <c r="AD120" s="342">
        <f t="shared" si="29"/>
        <v>0</v>
      </c>
    </row>
    <row r="121" spans="1:30" ht="12.75" customHeight="1" x14ac:dyDescent="0.2">
      <c r="A121" s="71">
        <v>103</v>
      </c>
      <c r="B121" s="17"/>
      <c r="C121" s="17"/>
      <c r="D121" s="17"/>
      <c r="E121" s="497"/>
      <c r="F121" s="497"/>
      <c r="G121" s="497"/>
      <c r="H121" s="497"/>
      <c r="I121" s="73"/>
      <c r="J121" s="492"/>
      <c r="K121" s="493" t="str">
        <f>IFERROR(VLOOKUP($R121,FeeLookup!$J$5:$L$33,2,FALSE),"")</f>
        <v/>
      </c>
      <c r="L121" s="493" t="str">
        <f>IFERROR(VLOOKUP($R121,FeeLookup!$J$5:$L$33,3,FALSE),"")</f>
        <v/>
      </c>
      <c r="M121" s="413" t="s">
        <v>65</v>
      </c>
      <c r="N121" s="414">
        <v>103</v>
      </c>
      <c r="O121" s="4"/>
      <c r="P121" s="12" t="str">
        <f t="shared" si="18"/>
        <v>TEF</v>
      </c>
      <c r="Q121" s="12" t="str">
        <f t="shared" si="19"/>
        <v/>
      </c>
      <c r="R121" s="13" t="str">
        <f t="shared" si="20"/>
        <v>_TEF_</v>
      </c>
      <c r="S121" s="13" t="str">
        <f t="shared" si="21"/>
        <v/>
      </c>
      <c r="T121" s="12" t="str">
        <f t="shared" si="22"/>
        <v/>
      </c>
      <c r="U121" s="12" t="str">
        <f t="shared" si="23"/>
        <v/>
      </c>
      <c r="V121" s="12" t="str">
        <f t="shared" si="30"/>
        <v>NO</v>
      </c>
      <c r="W121" s="14" t="str">
        <f t="shared" si="24"/>
        <v/>
      </c>
      <c r="X121" s="14" t="str">
        <f t="shared" si="17"/>
        <v/>
      </c>
      <c r="Y121" s="14" t="str">
        <f t="shared" si="25"/>
        <v/>
      </c>
      <c r="Z121" s="15" t="str">
        <f t="shared" si="26"/>
        <v/>
      </c>
      <c r="AA121" s="342">
        <f t="shared" si="27"/>
        <v>0</v>
      </c>
      <c r="AB121" s="342">
        <f t="shared" si="27"/>
        <v>0</v>
      </c>
      <c r="AC121" s="342">
        <f t="shared" si="28"/>
        <v>0</v>
      </c>
      <c r="AD121" s="342">
        <f t="shared" si="29"/>
        <v>0</v>
      </c>
    </row>
    <row r="122" spans="1:30" ht="12.75" customHeight="1" x14ac:dyDescent="0.2">
      <c r="A122" s="71">
        <v>104</v>
      </c>
      <c r="B122" s="17"/>
      <c r="C122" s="17"/>
      <c r="D122" s="17"/>
      <c r="E122" s="497"/>
      <c r="F122" s="497"/>
      <c r="G122" s="497"/>
      <c r="H122" s="497"/>
      <c r="I122" s="73"/>
      <c r="J122" s="492"/>
      <c r="K122" s="493" t="str">
        <f>IFERROR(VLOOKUP($R122,FeeLookup!$J$5:$L$33,2,FALSE),"")</f>
        <v/>
      </c>
      <c r="L122" s="493" t="str">
        <f>IFERROR(VLOOKUP($R122,FeeLookup!$J$5:$L$33,3,FALSE),"")</f>
        <v/>
      </c>
      <c r="M122" s="413" t="s">
        <v>65</v>
      </c>
      <c r="N122" s="414">
        <v>104</v>
      </c>
      <c r="O122" s="4"/>
      <c r="P122" s="12" t="str">
        <f t="shared" si="18"/>
        <v>TEF</v>
      </c>
      <c r="Q122" s="12" t="str">
        <f t="shared" si="19"/>
        <v/>
      </c>
      <c r="R122" s="13" t="str">
        <f t="shared" si="20"/>
        <v>_TEF_</v>
      </c>
      <c r="S122" s="13" t="str">
        <f t="shared" si="21"/>
        <v/>
      </c>
      <c r="T122" s="12" t="str">
        <f t="shared" si="22"/>
        <v/>
      </c>
      <c r="U122" s="12" t="str">
        <f t="shared" si="23"/>
        <v/>
      </c>
      <c r="V122" s="12" t="str">
        <f t="shared" si="30"/>
        <v>NO</v>
      </c>
      <c r="W122" s="14" t="str">
        <f t="shared" si="24"/>
        <v/>
      </c>
      <c r="X122" s="14" t="str">
        <f t="shared" si="17"/>
        <v/>
      </c>
      <c r="Y122" s="14" t="str">
        <f t="shared" si="25"/>
        <v/>
      </c>
      <c r="Z122" s="15" t="str">
        <f t="shared" si="26"/>
        <v/>
      </c>
      <c r="AA122" s="342">
        <f t="shared" si="27"/>
        <v>0</v>
      </c>
      <c r="AB122" s="342">
        <f t="shared" si="27"/>
        <v>0</v>
      </c>
      <c r="AC122" s="342">
        <f t="shared" si="28"/>
        <v>0</v>
      </c>
      <c r="AD122" s="342">
        <f t="shared" si="29"/>
        <v>0</v>
      </c>
    </row>
    <row r="123" spans="1:30" ht="12.75" customHeight="1" x14ac:dyDescent="0.2">
      <c r="A123" s="71">
        <v>105</v>
      </c>
      <c r="B123" s="17"/>
      <c r="C123" s="17"/>
      <c r="D123" s="17"/>
      <c r="E123" s="497"/>
      <c r="F123" s="497"/>
      <c r="G123" s="497"/>
      <c r="H123" s="497"/>
      <c r="I123" s="73"/>
      <c r="J123" s="492"/>
      <c r="K123" s="493" t="str">
        <f>IFERROR(VLOOKUP($R123,FeeLookup!$J$5:$L$33,2,FALSE),"")</f>
        <v/>
      </c>
      <c r="L123" s="493" t="str">
        <f>IFERROR(VLOOKUP($R123,FeeLookup!$J$5:$L$33,3,FALSE),"")</f>
        <v/>
      </c>
      <c r="M123" s="413" t="s">
        <v>65</v>
      </c>
      <c r="N123" s="414">
        <v>105</v>
      </c>
      <c r="O123" s="4"/>
      <c r="P123" s="12" t="str">
        <f t="shared" si="18"/>
        <v>TEF</v>
      </c>
      <c r="Q123" s="12" t="str">
        <f t="shared" si="19"/>
        <v/>
      </c>
      <c r="R123" s="13" t="str">
        <f t="shared" si="20"/>
        <v>_TEF_</v>
      </c>
      <c r="S123" s="13" t="str">
        <f t="shared" si="21"/>
        <v/>
      </c>
      <c r="T123" s="12" t="str">
        <f t="shared" si="22"/>
        <v/>
      </c>
      <c r="U123" s="12" t="str">
        <f t="shared" si="23"/>
        <v/>
      </c>
      <c r="V123" s="12" t="str">
        <f t="shared" si="30"/>
        <v>NO</v>
      </c>
      <c r="W123" s="14" t="str">
        <f t="shared" si="24"/>
        <v/>
      </c>
      <c r="X123" s="14" t="str">
        <f t="shared" si="17"/>
        <v/>
      </c>
      <c r="Y123" s="14" t="str">
        <f t="shared" si="25"/>
        <v/>
      </c>
      <c r="Z123" s="15" t="str">
        <f t="shared" si="26"/>
        <v/>
      </c>
      <c r="AA123" s="342">
        <f t="shared" si="27"/>
        <v>0</v>
      </c>
      <c r="AB123" s="342">
        <f t="shared" si="27"/>
        <v>0</v>
      </c>
      <c r="AC123" s="342">
        <f t="shared" si="28"/>
        <v>0</v>
      </c>
      <c r="AD123" s="342">
        <f t="shared" si="29"/>
        <v>0</v>
      </c>
    </row>
    <row r="124" spans="1:30" ht="12.75" customHeight="1" x14ac:dyDescent="0.2">
      <c r="A124" s="71">
        <v>106</v>
      </c>
      <c r="B124" s="17"/>
      <c r="C124" s="17"/>
      <c r="D124" s="17"/>
      <c r="E124" s="497"/>
      <c r="F124" s="497"/>
      <c r="G124" s="497"/>
      <c r="H124" s="497"/>
      <c r="I124" s="73"/>
      <c r="J124" s="492"/>
      <c r="K124" s="493" t="str">
        <f>IFERROR(VLOOKUP($R124,FeeLookup!$J$5:$L$33,2,FALSE),"")</f>
        <v/>
      </c>
      <c r="L124" s="493" t="str">
        <f>IFERROR(VLOOKUP($R124,FeeLookup!$J$5:$L$33,3,FALSE),"")</f>
        <v/>
      </c>
      <c r="M124" s="413" t="s">
        <v>65</v>
      </c>
      <c r="N124" s="414">
        <v>106</v>
      </c>
      <c r="O124" s="4"/>
      <c r="P124" s="12" t="str">
        <f t="shared" si="18"/>
        <v>TEF</v>
      </c>
      <c r="Q124" s="12" t="str">
        <f t="shared" si="19"/>
        <v/>
      </c>
      <c r="R124" s="13" t="str">
        <f t="shared" si="20"/>
        <v>_TEF_</v>
      </c>
      <c r="S124" s="13" t="str">
        <f t="shared" si="21"/>
        <v/>
      </c>
      <c r="T124" s="12" t="str">
        <f t="shared" si="22"/>
        <v/>
      </c>
      <c r="U124" s="12" t="str">
        <f t="shared" si="23"/>
        <v/>
      </c>
      <c r="V124" s="12" t="str">
        <f t="shared" si="30"/>
        <v>NO</v>
      </c>
      <c r="W124" s="14" t="str">
        <f t="shared" si="24"/>
        <v/>
      </c>
      <c r="X124" s="14" t="str">
        <f t="shared" si="17"/>
        <v/>
      </c>
      <c r="Y124" s="14" t="str">
        <f t="shared" si="25"/>
        <v/>
      </c>
      <c r="Z124" s="15" t="str">
        <f t="shared" si="26"/>
        <v/>
      </c>
      <c r="AA124" s="342">
        <f t="shared" si="27"/>
        <v>0</v>
      </c>
      <c r="AB124" s="342">
        <f t="shared" si="27"/>
        <v>0</v>
      </c>
      <c r="AC124" s="342">
        <f t="shared" si="28"/>
        <v>0</v>
      </c>
      <c r="AD124" s="342">
        <f t="shared" si="29"/>
        <v>0</v>
      </c>
    </row>
    <row r="125" spans="1:30" ht="12.75" customHeight="1" x14ac:dyDescent="0.2">
      <c r="A125" s="71">
        <v>107</v>
      </c>
      <c r="B125" s="17"/>
      <c r="C125" s="17"/>
      <c r="D125" s="17"/>
      <c r="E125" s="497"/>
      <c r="F125" s="497"/>
      <c r="G125" s="497"/>
      <c r="H125" s="497"/>
      <c r="I125" s="73"/>
      <c r="J125" s="492"/>
      <c r="K125" s="493" t="str">
        <f>IFERROR(VLOOKUP($R125,FeeLookup!$J$5:$L$33,2,FALSE),"")</f>
        <v/>
      </c>
      <c r="L125" s="493" t="str">
        <f>IFERROR(VLOOKUP($R125,FeeLookup!$J$5:$L$33,3,FALSE),"")</f>
        <v/>
      </c>
      <c r="M125" s="413" t="s">
        <v>65</v>
      </c>
      <c r="N125" s="414">
        <v>107</v>
      </c>
      <c r="O125" s="4"/>
      <c r="P125" s="12" t="str">
        <f t="shared" si="18"/>
        <v>TEF</v>
      </c>
      <c r="Q125" s="12" t="str">
        <f t="shared" si="19"/>
        <v/>
      </c>
      <c r="R125" s="13" t="str">
        <f t="shared" si="20"/>
        <v>_TEF_</v>
      </c>
      <c r="S125" s="13" t="str">
        <f t="shared" si="21"/>
        <v/>
      </c>
      <c r="T125" s="12" t="str">
        <f t="shared" si="22"/>
        <v/>
      </c>
      <c r="U125" s="12" t="str">
        <f t="shared" si="23"/>
        <v/>
      </c>
      <c r="V125" s="12" t="str">
        <f t="shared" si="30"/>
        <v>NO</v>
      </c>
      <c r="W125" s="14" t="str">
        <f t="shared" si="24"/>
        <v/>
      </c>
      <c r="X125" s="14" t="str">
        <f t="shared" si="17"/>
        <v/>
      </c>
      <c r="Y125" s="14" t="str">
        <f t="shared" si="25"/>
        <v/>
      </c>
      <c r="Z125" s="15" t="str">
        <f t="shared" si="26"/>
        <v/>
      </c>
      <c r="AA125" s="342">
        <f t="shared" si="27"/>
        <v>0</v>
      </c>
      <c r="AB125" s="342">
        <f t="shared" si="27"/>
        <v>0</v>
      </c>
      <c r="AC125" s="342">
        <f t="shared" si="28"/>
        <v>0</v>
      </c>
      <c r="AD125" s="342">
        <f t="shared" si="29"/>
        <v>0</v>
      </c>
    </row>
    <row r="126" spans="1:30" ht="12.75" customHeight="1" x14ac:dyDescent="0.2">
      <c r="A126" s="71">
        <v>108</v>
      </c>
      <c r="B126" s="17"/>
      <c r="C126" s="17"/>
      <c r="D126" s="17"/>
      <c r="E126" s="497"/>
      <c r="F126" s="497"/>
      <c r="G126" s="497"/>
      <c r="H126" s="497"/>
      <c r="I126" s="73"/>
      <c r="J126" s="492"/>
      <c r="K126" s="493" t="str">
        <f>IFERROR(VLOOKUP($R126,FeeLookup!$J$5:$L$33,2,FALSE),"")</f>
        <v/>
      </c>
      <c r="L126" s="493" t="str">
        <f>IFERROR(VLOOKUP($R126,FeeLookup!$J$5:$L$33,3,FALSE),"")</f>
        <v/>
      </c>
      <c r="M126" s="413" t="s">
        <v>65</v>
      </c>
      <c r="N126" s="414">
        <v>108</v>
      </c>
      <c r="O126" s="4"/>
      <c r="P126" s="12" t="str">
        <f t="shared" si="18"/>
        <v>TEF</v>
      </c>
      <c r="Q126" s="12" t="str">
        <f t="shared" si="19"/>
        <v/>
      </c>
      <c r="R126" s="13" t="str">
        <f t="shared" si="20"/>
        <v>_TEF_</v>
      </c>
      <c r="S126" s="13" t="str">
        <f t="shared" si="21"/>
        <v/>
      </c>
      <c r="T126" s="12" t="str">
        <f t="shared" si="22"/>
        <v/>
      </c>
      <c r="U126" s="12" t="str">
        <f t="shared" si="23"/>
        <v/>
      </c>
      <c r="V126" s="12" t="str">
        <f t="shared" si="30"/>
        <v>NO</v>
      </c>
      <c r="W126" s="14" t="str">
        <f t="shared" si="24"/>
        <v/>
      </c>
      <c r="X126" s="14" t="str">
        <f t="shared" si="17"/>
        <v/>
      </c>
      <c r="Y126" s="14" t="str">
        <f t="shared" si="25"/>
        <v/>
      </c>
      <c r="Z126" s="15" t="str">
        <f t="shared" si="26"/>
        <v/>
      </c>
      <c r="AA126" s="342">
        <f t="shared" si="27"/>
        <v>0</v>
      </c>
      <c r="AB126" s="342">
        <f t="shared" si="27"/>
        <v>0</v>
      </c>
      <c r="AC126" s="342">
        <f t="shared" si="28"/>
        <v>0</v>
      </c>
      <c r="AD126" s="342">
        <f t="shared" si="29"/>
        <v>0</v>
      </c>
    </row>
    <row r="127" spans="1:30" ht="12.75" customHeight="1" x14ac:dyDescent="0.2">
      <c r="A127" s="71">
        <v>109</v>
      </c>
      <c r="B127" s="17"/>
      <c r="C127" s="17"/>
      <c r="D127" s="17"/>
      <c r="E127" s="497"/>
      <c r="F127" s="497"/>
      <c r="G127" s="497"/>
      <c r="H127" s="497"/>
      <c r="I127" s="73"/>
      <c r="J127" s="492"/>
      <c r="K127" s="493" t="str">
        <f>IFERROR(VLOOKUP($R127,FeeLookup!$J$5:$L$33,2,FALSE),"")</f>
        <v/>
      </c>
      <c r="L127" s="493" t="str">
        <f>IFERROR(VLOOKUP($R127,FeeLookup!$J$5:$L$33,3,FALSE),"")</f>
        <v/>
      </c>
      <c r="M127" s="413" t="s">
        <v>65</v>
      </c>
      <c r="N127" s="414">
        <v>109</v>
      </c>
      <c r="O127" s="4"/>
      <c r="P127" s="12" t="str">
        <f t="shared" si="18"/>
        <v>TEF</v>
      </c>
      <c r="Q127" s="12" t="str">
        <f t="shared" si="19"/>
        <v/>
      </c>
      <c r="R127" s="13" t="str">
        <f t="shared" si="20"/>
        <v>_TEF_</v>
      </c>
      <c r="S127" s="13" t="str">
        <f t="shared" si="21"/>
        <v/>
      </c>
      <c r="T127" s="12" t="str">
        <f t="shared" si="22"/>
        <v/>
      </c>
      <c r="U127" s="12" t="str">
        <f t="shared" si="23"/>
        <v/>
      </c>
      <c r="V127" s="12" t="str">
        <f t="shared" si="30"/>
        <v>NO</v>
      </c>
      <c r="W127" s="14" t="str">
        <f t="shared" si="24"/>
        <v/>
      </c>
      <c r="X127" s="14" t="str">
        <f t="shared" si="17"/>
        <v/>
      </c>
      <c r="Y127" s="14" t="str">
        <f t="shared" si="25"/>
        <v/>
      </c>
      <c r="Z127" s="15" t="str">
        <f t="shared" si="26"/>
        <v/>
      </c>
      <c r="AA127" s="342">
        <f t="shared" si="27"/>
        <v>0</v>
      </c>
      <c r="AB127" s="342">
        <f t="shared" si="27"/>
        <v>0</v>
      </c>
      <c r="AC127" s="342">
        <f t="shared" si="28"/>
        <v>0</v>
      </c>
      <c r="AD127" s="342">
        <f t="shared" si="29"/>
        <v>0</v>
      </c>
    </row>
    <row r="128" spans="1:30" ht="12.75" customHeight="1" x14ac:dyDescent="0.2">
      <c r="A128" s="71">
        <v>110</v>
      </c>
      <c r="B128" s="17"/>
      <c r="C128" s="17"/>
      <c r="D128" s="17"/>
      <c r="E128" s="497"/>
      <c r="F128" s="497"/>
      <c r="G128" s="497"/>
      <c r="H128" s="497"/>
      <c r="I128" s="73"/>
      <c r="J128" s="492"/>
      <c r="K128" s="493" t="str">
        <f>IFERROR(VLOOKUP($R128,FeeLookup!$J$5:$L$33,2,FALSE),"")</f>
        <v/>
      </c>
      <c r="L128" s="493" t="str">
        <f>IFERROR(VLOOKUP($R128,FeeLookup!$J$5:$L$33,3,FALSE),"")</f>
        <v/>
      </c>
      <c r="M128" s="413" t="s">
        <v>65</v>
      </c>
      <c r="N128" s="414">
        <v>110</v>
      </c>
      <c r="O128" s="4"/>
      <c r="P128" s="12" t="str">
        <f t="shared" si="18"/>
        <v>TEF</v>
      </c>
      <c r="Q128" s="12" t="str">
        <f t="shared" si="19"/>
        <v/>
      </c>
      <c r="R128" s="13" t="str">
        <f t="shared" si="20"/>
        <v>_TEF_</v>
      </c>
      <c r="S128" s="13" t="str">
        <f t="shared" si="21"/>
        <v/>
      </c>
      <c r="T128" s="12" t="str">
        <f t="shared" si="22"/>
        <v/>
      </c>
      <c r="U128" s="12" t="str">
        <f t="shared" si="23"/>
        <v/>
      </c>
      <c r="V128" s="12" t="str">
        <f t="shared" si="30"/>
        <v>NO</v>
      </c>
      <c r="W128" s="14" t="str">
        <f t="shared" si="24"/>
        <v/>
      </c>
      <c r="X128" s="14" t="str">
        <f t="shared" si="17"/>
        <v/>
      </c>
      <c r="Y128" s="14" t="str">
        <f t="shared" si="25"/>
        <v/>
      </c>
      <c r="Z128" s="15" t="str">
        <f t="shared" si="26"/>
        <v/>
      </c>
      <c r="AA128" s="342">
        <f t="shared" si="27"/>
        <v>0</v>
      </c>
      <c r="AB128" s="342">
        <f t="shared" si="27"/>
        <v>0</v>
      </c>
      <c r="AC128" s="342">
        <f t="shared" si="28"/>
        <v>0</v>
      </c>
      <c r="AD128" s="342">
        <f t="shared" si="29"/>
        <v>0</v>
      </c>
    </row>
    <row r="129" spans="1:30" ht="12.75" customHeight="1" x14ac:dyDescent="0.2">
      <c r="A129" s="71">
        <v>111</v>
      </c>
      <c r="B129" s="17"/>
      <c r="C129" s="17"/>
      <c r="D129" s="17"/>
      <c r="E129" s="497"/>
      <c r="F129" s="497"/>
      <c r="G129" s="497"/>
      <c r="H129" s="497"/>
      <c r="I129" s="73"/>
      <c r="J129" s="492"/>
      <c r="K129" s="493" t="str">
        <f>IFERROR(VLOOKUP($R129,FeeLookup!$J$5:$L$33,2,FALSE),"")</f>
        <v/>
      </c>
      <c r="L129" s="493" t="str">
        <f>IFERROR(VLOOKUP($R129,FeeLookup!$J$5:$L$33,3,FALSE),"")</f>
        <v/>
      </c>
      <c r="M129" s="413" t="s">
        <v>65</v>
      </c>
      <c r="N129" s="414">
        <v>111</v>
      </c>
      <c r="O129" s="4"/>
      <c r="P129" s="12" t="str">
        <f t="shared" si="18"/>
        <v>TEF</v>
      </c>
      <c r="Q129" s="12" t="str">
        <f t="shared" si="19"/>
        <v/>
      </c>
      <c r="R129" s="13" t="str">
        <f t="shared" si="20"/>
        <v>_TEF_</v>
      </c>
      <c r="S129" s="13" t="str">
        <f t="shared" si="21"/>
        <v/>
      </c>
      <c r="T129" s="12" t="str">
        <f t="shared" si="22"/>
        <v/>
      </c>
      <c r="U129" s="12" t="str">
        <f t="shared" si="23"/>
        <v/>
      </c>
      <c r="V129" s="12" t="str">
        <f t="shared" si="30"/>
        <v>NO</v>
      </c>
      <c r="W129" s="14" t="str">
        <f t="shared" si="24"/>
        <v/>
      </c>
      <c r="X129" s="14" t="str">
        <f t="shared" si="17"/>
        <v/>
      </c>
      <c r="Y129" s="14" t="str">
        <f t="shared" si="25"/>
        <v/>
      </c>
      <c r="Z129" s="15" t="str">
        <f t="shared" si="26"/>
        <v/>
      </c>
      <c r="AA129" s="342">
        <f t="shared" si="27"/>
        <v>0</v>
      </c>
      <c r="AB129" s="342">
        <f t="shared" si="27"/>
        <v>0</v>
      </c>
      <c r="AC129" s="342">
        <f t="shared" si="28"/>
        <v>0</v>
      </c>
      <c r="AD129" s="342">
        <f t="shared" si="29"/>
        <v>0</v>
      </c>
    </row>
    <row r="130" spans="1:30" ht="12.75" customHeight="1" x14ac:dyDescent="0.2">
      <c r="A130" s="71">
        <v>112</v>
      </c>
      <c r="B130" s="17"/>
      <c r="C130" s="17"/>
      <c r="D130" s="17"/>
      <c r="E130" s="497"/>
      <c r="F130" s="497"/>
      <c r="G130" s="497"/>
      <c r="H130" s="497"/>
      <c r="I130" s="73"/>
      <c r="J130" s="492"/>
      <c r="K130" s="493" t="str">
        <f>IFERROR(VLOOKUP($R130,FeeLookup!$J$5:$L$33,2,FALSE),"")</f>
        <v/>
      </c>
      <c r="L130" s="493" t="str">
        <f>IFERROR(VLOOKUP($R130,FeeLookup!$J$5:$L$33,3,FALSE),"")</f>
        <v/>
      </c>
      <c r="M130" s="413" t="s">
        <v>65</v>
      </c>
      <c r="N130" s="414">
        <v>112</v>
      </c>
      <c r="O130" s="4"/>
      <c r="P130" s="12" t="str">
        <f t="shared" si="18"/>
        <v>TEF</v>
      </c>
      <c r="Q130" s="12" t="str">
        <f t="shared" si="19"/>
        <v/>
      </c>
      <c r="R130" s="13" t="str">
        <f t="shared" si="20"/>
        <v>_TEF_</v>
      </c>
      <c r="S130" s="13" t="str">
        <f t="shared" si="21"/>
        <v/>
      </c>
      <c r="T130" s="12" t="str">
        <f t="shared" si="22"/>
        <v/>
      </c>
      <c r="U130" s="12" t="str">
        <f t="shared" si="23"/>
        <v/>
      </c>
      <c r="V130" s="12" t="str">
        <f t="shared" si="30"/>
        <v>NO</v>
      </c>
      <c r="W130" s="14" t="str">
        <f t="shared" si="24"/>
        <v/>
      </c>
      <c r="X130" s="14" t="str">
        <f t="shared" si="17"/>
        <v/>
      </c>
      <c r="Y130" s="14" t="str">
        <f t="shared" si="25"/>
        <v/>
      </c>
      <c r="Z130" s="15" t="str">
        <f t="shared" si="26"/>
        <v/>
      </c>
      <c r="AA130" s="342">
        <f t="shared" si="27"/>
        <v>0</v>
      </c>
      <c r="AB130" s="342">
        <f t="shared" si="27"/>
        <v>0</v>
      </c>
      <c r="AC130" s="342">
        <f t="shared" si="28"/>
        <v>0</v>
      </c>
      <c r="AD130" s="342">
        <f t="shared" si="29"/>
        <v>0</v>
      </c>
    </row>
    <row r="131" spans="1:30" ht="12.75" customHeight="1" x14ac:dyDescent="0.2">
      <c r="A131" s="71">
        <v>113</v>
      </c>
      <c r="B131" s="17"/>
      <c r="C131" s="17"/>
      <c r="D131" s="17"/>
      <c r="E131" s="497"/>
      <c r="F131" s="497"/>
      <c r="G131" s="497"/>
      <c r="H131" s="497"/>
      <c r="I131" s="73"/>
      <c r="J131" s="492"/>
      <c r="K131" s="493" t="str">
        <f>IFERROR(VLOOKUP($R131,FeeLookup!$J$5:$L$33,2,FALSE),"")</f>
        <v/>
      </c>
      <c r="L131" s="493" t="str">
        <f>IFERROR(VLOOKUP($R131,FeeLookup!$J$5:$L$33,3,FALSE),"")</f>
        <v/>
      </c>
      <c r="M131" s="413" t="s">
        <v>65</v>
      </c>
      <c r="N131" s="414">
        <v>113</v>
      </c>
      <c r="O131" s="4"/>
      <c r="P131" s="12" t="str">
        <f t="shared" si="18"/>
        <v>TEF</v>
      </c>
      <c r="Q131" s="12" t="str">
        <f t="shared" si="19"/>
        <v/>
      </c>
      <c r="R131" s="13" t="str">
        <f t="shared" si="20"/>
        <v>_TEF_</v>
      </c>
      <c r="S131" s="13" t="str">
        <f t="shared" si="21"/>
        <v/>
      </c>
      <c r="T131" s="12" t="str">
        <f t="shared" si="22"/>
        <v/>
      </c>
      <c r="U131" s="12" t="str">
        <f t="shared" si="23"/>
        <v/>
      </c>
      <c r="V131" s="12" t="str">
        <f t="shared" si="30"/>
        <v>NO</v>
      </c>
      <c r="W131" s="14" t="str">
        <f t="shared" si="24"/>
        <v/>
      </c>
      <c r="X131" s="14" t="str">
        <f t="shared" si="17"/>
        <v/>
      </c>
      <c r="Y131" s="14" t="str">
        <f t="shared" si="25"/>
        <v/>
      </c>
      <c r="Z131" s="15" t="str">
        <f t="shared" si="26"/>
        <v/>
      </c>
      <c r="AA131" s="342">
        <f t="shared" si="27"/>
        <v>0</v>
      </c>
      <c r="AB131" s="342">
        <f t="shared" si="27"/>
        <v>0</v>
      </c>
      <c r="AC131" s="342">
        <f t="shared" si="28"/>
        <v>0</v>
      </c>
      <c r="AD131" s="342">
        <f t="shared" si="29"/>
        <v>0</v>
      </c>
    </row>
    <row r="132" spans="1:30" ht="12.75" customHeight="1" x14ac:dyDescent="0.2">
      <c r="A132" s="71">
        <v>114</v>
      </c>
      <c r="B132" s="17"/>
      <c r="C132" s="17"/>
      <c r="D132" s="17"/>
      <c r="E132" s="497"/>
      <c r="F132" s="497"/>
      <c r="G132" s="497"/>
      <c r="H132" s="497"/>
      <c r="I132" s="73"/>
      <c r="J132" s="492"/>
      <c r="K132" s="493" t="str">
        <f>IFERROR(VLOOKUP($R132,FeeLookup!$J$5:$L$33,2,FALSE),"")</f>
        <v/>
      </c>
      <c r="L132" s="493" t="str">
        <f>IFERROR(VLOOKUP($R132,FeeLookup!$J$5:$L$33,3,FALSE),"")</f>
        <v/>
      </c>
      <c r="M132" s="413" t="s">
        <v>65</v>
      </c>
      <c r="N132" s="414">
        <v>114</v>
      </c>
      <c r="O132" s="4"/>
      <c r="P132" s="12" t="str">
        <f t="shared" si="18"/>
        <v>TEF</v>
      </c>
      <c r="Q132" s="12" t="str">
        <f t="shared" si="19"/>
        <v/>
      </c>
      <c r="R132" s="13" t="str">
        <f t="shared" si="20"/>
        <v>_TEF_</v>
      </c>
      <c r="S132" s="13" t="str">
        <f t="shared" si="21"/>
        <v/>
      </c>
      <c r="T132" s="12" t="str">
        <f t="shared" si="22"/>
        <v/>
      </c>
      <c r="U132" s="12" t="str">
        <f t="shared" si="23"/>
        <v/>
      </c>
      <c r="V132" s="12" t="str">
        <f t="shared" si="30"/>
        <v>NO</v>
      </c>
      <c r="W132" s="14" t="str">
        <f t="shared" si="24"/>
        <v/>
      </c>
      <c r="X132" s="14" t="str">
        <f t="shared" si="17"/>
        <v/>
      </c>
      <c r="Y132" s="14" t="str">
        <f t="shared" si="25"/>
        <v/>
      </c>
      <c r="Z132" s="15" t="str">
        <f t="shared" si="26"/>
        <v/>
      </c>
      <c r="AA132" s="342">
        <f t="shared" si="27"/>
        <v>0</v>
      </c>
      <c r="AB132" s="342">
        <f t="shared" si="27"/>
        <v>0</v>
      </c>
      <c r="AC132" s="342">
        <f t="shared" si="28"/>
        <v>0</v>
      </c>
      <c r="AD132" s="342">
        <f t="shared" si="29"/>
        <v>0</v>
      </c>
    </row>
    <row r="133" spans="1:30" ht="12.75" customHeight="1" x14ac:dyDescent="0.2">
      <c r="A133" s="71">
        <v>115</v>
      </c>
      <c r="B133" s="17"/>
      <c r="C133" s="17"/>
      <c r="D133" s="17"/>
      <c r="E133" s="497"/>
      <c r="F133" s="497"/>
      <c r="G133" s="497"/>
      <c r="H133" s="497"/>
      <c r="I133" s="73"/>
      <c r="J133" s="492"/>
      <c r="K133" s="493" t="str">
        <f>IFERROR(VLOOKUP($R133,FeeLookup!$J$5:$L$33,2,FALSE),"")</f>
        <v/>
      </c>
      <c r="L133" s="493" t="str">
        <f>IFERROR(VLOOKUP($R133,FeeLookup!$J$5:$L$33,3,FALSE),"")</f>
        <v/>
      </c>
      <c r="M133" s="413" t="s">
        <v>65</v>
      </c>
      <c r="N133" s="414">
        <v>115</v>
      </c>
      <c r="O133" s="4"/>
      <c r="P133" s="12" t="str">
        <f t="shared" si="18"/>
        <v>TEF</v>
      </c>
      <c r="Q133" s="12" t="str">
        <f t="shared" si="19"/>
        <v/>
      </c>
      <c r="R133" s="13" t="str">
        <f t="shared" si="20"/>
        <v>_TEF_</v>
      </c>
      <c r="S133" s="13" t="str">
        <f t="shared" si="21"/>
        <v/>
      </c>
      <c r="T133" s="12" t="str">
        <f t="shared" si="22"/>
        <v/>
      </c>
      <c r="U133" s="12" t="str">
        <f t="shared" si="23"/>
        <v/>
      </c>
      <c r="V133" s="12" t="str">
        <f t="shared" si="30"/>
        <v>NO</v>
      </c>
      <c r="W133" s="14" t="str">
        <f t="shared" si="24"/>
        <v/>
      </c>
      <c r="X133" s="14" t="str">
        <f t="shared" si="17"/>
        <v/>
      </c>
      <c r="Y133" s="14" t="str">
        <f t="shared" si="25"/>
        <v/>
      </c>
      <c r="Z133" s="15" t="str">
        <f t="shared" si="26"/>
        <v/>
      </c>
      <c r="AA133" s="342">
        <f t="shared" si="27"/>
        <v>0</v>
      </c>
      <c r="AB133" s="342">
        <f t="shared" si="27"/>
        <v>0</v>
      </c>
      <c r="AC133" s="342">
        <f t="shared" si="28"/>
        <v>0</v>
      </c>
      <c r="AD133" s="342">
        <f t="shared" si="29"/>
        <v>0</v>
      </c>
    </row>
    <row r="134" spans="1:30" ht="12.75" customHeight="1" x14ac:dyDescent="0.2">
      <c r="A134" s="71">
        <v>116</v>
      </c>
      <c r="B134" s="17"/>
      <c r="C134" s="17"/>
      <c r="D134" s="17"/>
      <c r="E134" s="497"/>
      <c r="F134" s="497"/>
      <c r="G134" s="497"/>
      <c r="H134" s="497"/>
      <c r="I134" s="73"/>
      <c r="J134" s="492"/>
      <c r="K134" s="493" t="str">
        <f>IFERROR(VLOOKUP($R134,FeeLookup!$J$5:$L$33,2,FALSE),"")</f>
        <v/>
      </c>
      <c r="L134" s="493" t="str">
        <f>IFERROR(VLOOKUP($R134,FeeLookup!$J$5:$L$33,3,FALSE),"")</f>
        <v/>
      </c>
      <c r="M134" s="413" t="s">
        <v>65</v>
      </c>
      <c r="N134" s="414">
        <v>116</v>
      </c>
      <c r="O134" s="4"/>
      <c r="P134" s="12" t="str">
        <f t="shared" si="18"/>
        <v>TEF</v>
      </c>
      <c r="Q134" s="12" t="str">
        <f t="shared" si="19"/>
        <v/>
      </c>
      <c r="R134" s="13" t="str">
        <f t="shared" si="20"/>
        <v>_TEF_</v>
      </c>
      <c r="S134" s="13" t="str">
        <f t="shared" si="21"/>
        <v/>
      </c>
      <c r="T134" s="12" t="str">
        <f t="shared" si="22"/>
        <v/>
      </c>
      <c r="U134" s="12" t="str">
        <f t="shared" si="23"/>
        <v/>
      </c>
      <c r="V134" s="12" t="str">
        <f t="shared" si="30"/>
        <v>NO</v>
      </c>
      <c r="W134" s="14" t="str">
        <f t="shared" si="24"/>
        <v/>
      </c>
      <c r="X134" s="14" t="str">
        <f t="shared" si="17"/>
        <v/>
      </c>
      <c r="Y134" s="14" t="str">
        <f t="shared" si="25"/>
        <v/>
      </c>
      <c r="Z134" s="15" t="str">
        <f t="shared" si="26"/>
        <v/>
      </c>
      <c r="AA134" s="342">
        <f t="shared" si="27"/>
        <v>0</v>
      </c>
      <c r="AB134" s="342">
        <f t="shared" si="27"/>
        <v>0</v>
      </c>
      <c r="AC134" s="342">
        <f t="shared" si="28"/>
        <v>0</v>
      </c>
      <c r="AD134" s="342">
        <f t="shared" si="29"/>
        <v>0</v>
      </c>
    </row>
    <row r="135" spans="1:30" ht="12.75" customHeight="1" x14ac:dyDescent="0.2">
      <c r="A135" s="71">
        <v>117</v>
      </c>
      <c r="B135" s="17"/>
      <c r="C135" s="17"/>
      <c r="D135" s="17"/>
      <c r="E135" s="497"/>
      <c r="F135" s="497"/>
      <c r="G135" s="497"/>
      <c r="H135" s="497"/>
      <c r="I135" s="73"/>
      <c r="J135" s="492"/>
      <c r="K135" s="493" t="str">
        <f>IFERROR(VLOOKUP($R135,FeeLookup!$J$5:$L$33,2,FALSE),"")</f>
        <v/>
      </c>
      <c r="L135" s="493" t="str">
        <f>IFERROR(VLOOKUP($R135,FeeLookup!$J$5:$L$33,3,FALSE),"")</f>
        <v/>
      </c>
      <c r="M135" s="413" t="s">
        <v>65</v>
      </c>
      <c r="N135" s="414">
        <v>117</v>
      </c>
      <c r="O135" s="4"/>
      <c r="P135" s="12" t="str">
        <f t="shared" si="18"/>
        <v>TEF</v>
      </c>
      <c r="Q135" s="12" t="str">
        <f t="shared" si="19"/>
        <v/>
      </c>
      <c r="R135" s="13" t="str">
        <f t="shared" si="20"/>
        <v>_TEF_</v>
      </c>
      <c r="S135" s="13" t="str">
        <f t="shared" si="21"/>
        <v/>
      </c>
      <c r="T135" s="12" t="str">
        <f t="shared" si="22"/>
        <v/>
      </c>
      <c r="U135" s="12" t="str">
        <f t="shared" si="23"/>
        <v/>
      </c>
      <c r="V135" s="12" t="str">
        <f t="shared" si="30"/>
        <v>NO</v>
      </c>
      <c r="W135" s="14" t="str">
        <f t="shared" si="24"/>
        <v/>
      </c>
      <c r="X135" s="14" t="str">
        <f t="shared" si="17"/>
        <v/>
      </c>
      <c r="Y135" s="14" t="str">
        <f t="shared" si="25"/>
        <v/>
      </c>
      <c r="Z135" s="15" t="str">
        <f t="shared" si="26"/>
        <v/>
      </c>
      <c r="AA135" s="342">
        <f t="shared" si="27"/>
        <v>0</v>
      </c>
      <c r="AB135" s="342">
        <f t="shared" si="27"/>
        <v>0</v>
      </c>
      <c r="AC135" s="342">
        <f t="shared" si="28"/>
        <v>0</v>
      </c>
      <c r="AD135" s="342">
        <f t="shared" si="29"/>
        <v>0</v>
      </c>
    </row>
    <row r="136" spans="1:30" ht="12.75" customHeight="1" x14ac:dyDescent="0.2">
      <c r="A136" s="71">
        <v>118</v>
      </c>
      <c r="B136" s="17"/>
      <c r="C136" s="17"/>
      <c r="D136" s="17"/>
      <c r="E136" s="497"/>
      <c r="F136" s="497"/>
      <c r="G136" s="497"/>
      <c r="H136" s="497"/>
      <c r="I136" s="73"/>
      <c r="J136" s="492"/>
      <c r="K136" s="493" t="str">
        <f>IFERROR(VLOOKUP($R136,FeeLookup!$J$5:$L$33,2,FALSE),"")</f>
        <v/>
      </c>
      <c r="L136" s="493" t="str">
        <f>IFERROR(VLOOKUP($R136,FeeLookup!$J$5:$L$33,3,FALSE),"")</f>
        <v/>
      </c>
      <c r="M136" s="413" t="s">
        <v>65</v>
      </c>
      <c r="N136" s="414">
        <v>118</v>
      </c>
      <c r="O136" s="4"/>
      <c r="P136" s="12" t="str">
        <f t="shared" si="18"/>
        <v>TEF</v>
      </c>
      <c r="Q136" s="12" t="str">
        <f t="shared" si="19"/>
        <v/>
      </c>
      <c r="R136" s="13" t="str">
        <f t="shared" si="20"/>
        <v>_TEF_</v>
      </c>
      <c r="S136" s="13" t="str">
        <f t="shared" si="21"/>
        <v/>
      </c>
      <c r="T136" s="12" t="str">
        <f t="shared" si="22"/>
        <v/>
      </c>
      <c r="U136" s="12" t="str">
        <f t="shared" si="23"/>
        <v/>
      </c>
      <c r="V136" s="12" t="str">
        <f t="shared" si="30"/>
        <v>NO</v>
      </c>
      <c r="W136" s="14" t="str">
        <f t="shared" si="24"/>
        <v/>
      </c>
      <c r="X136" s="14" t="str">
        <f t="shared" si="17"/>
        <v/>
      </c>
      <c r="Y136" s="14" t="str">
        <f t="shared" si="25"/>
        <v/>
      </c>
      <c r="Z136" s="15" t="str">
        <f t="shared" si="26"/>
        <v/>
      </c>
      <c r="AA136" s="342">
        <f t="shared" si="27"/>
        <v>0</v>
      </c>
      <c r="AB136" s="342">
        <f t="shared" si="27"/>
        <v>0</v>
      </c>
      <c r="AC136" s="342">
        <f t="shared" si="28"/>
        <v>0</v>
      </c>
      <c r="AD136" s="342">
        <f t="shared" si="29"/>
        <v>0</v>
      </c>
    </row>
    <row r="137" spans="1:30" ht="12.75" customHeight="1" x14ac:dyDescent="0.2">
      <c r="A137" s="71">
        <v>119</v>
      </c>
      <c r="B137" s="17"/>
      <c r="C137" s="17"/>
      <c r="D137" s="17"/>
      <c r="E137" s="497"/>
      <c r="F137" s="497"/>
      <c r="G137" s="497"/>
      <c r="H137" s="497"/>
      <c r="I137" s="73"/>
      <c r="J137" s="492"/>
      <c r="K137" s="493" t="str">
        <f>IFERROR(VLOOKUP($R137,FeeLookup!$J$5:$L$33,2,FALSE),"")</f>
        <v/>
      </c>
      <c r="L137" s="493" t="str">
        <f>IFERROR(VLOOKUP($R137,FeeLookup!$J$5:$L$33,3,FALSE),"")</f>
        <v/>
      </c>
      <c r="M137" s="413" t="s">
        <v>65</v>
      </c>
      <c r="N137" s="414">
        <v>119</v>
      </c>
      <c r="O137" s="4"/>
      <c r="P137" s="12" t="str">
        <f t="shared" si="18"/>
        <v>TEF</v>
      </c>
      <c r="Q137" s="12" t="str">
        <f t="shared" si="19"/>
        <v/>
      </c>
      <c r="R137" s="13" t="str">
        <f t="shared" si="20"/>
        <v>_TEF_</v>
      </c>
      <c r="S137" s="13" t="str">
        <f t="shared" si="21"/>
        <v/>
      </c>
      <c r="T137" s="12" t="str">
        <f t="shared" si="22"/>
        <v/>
      </c>
      <c r="U137" s="12" t="str">
        <f t="shared" si="23"/>
        <v/>
      </c>
      <c r="V137" s="12" t="str">
        <f t="shared" si="30"/>
        <v>NO</v>
      </c>
      <c r="W137" s="14" t="str">
        <f t="shared" si="24"/>
        <v/>
      </c>
      <c r="X137" s="14" t="str">
        <f t="shared" si="17"/>
        <v/>
      </c>
      <c r="Y137" s="14" t="str">
        <f t="shared" si="25"/>
        <v/>
      </c>
      <c r="Z137" s="15" t="str">
        <f t="shared" si="26"/>
        <v/>
      </c>
      <c r="AA137" s="342">
        <f t="shared" si="27"/>
        <v>0</v>
      </c>
      <c r="AB137" s="342">
        <f t="shared" si="27"/>
        <v>0</v>
      </c>
      <c r="AC137" s="342">
        <f t="shared" si="28"/>
        <v>0</v>
      </c>
      <c r="AD137" s="342">
        <f t="shared" si="29"/>
        <v>0</v>
      </c>
    </row>
    <row r="138" spans="1:30" ht="12.75" customHeight="1" x14ac:dyDescent="0.2">
      <c r="A138" s="71">
        <v>120</v>
      </c>
      <c r="B138" s="17"/>
      <c r="C138" s="17"/>
      <c r="D138" s="17"/>
      <c r="E138" s="497"/>
      <c r="F138" s="497"/>
      <c r="G138" s="497"/>
      <c r="H138" s="497"/>
      <c r="I138" s="73"/>
      <c r="J138" s="492"/>
      <c r="K138" s="493" t="str">
        <f>IFERROR(VLOOKUP($R138,FeeLookup!$J$5:$L$33,2,FALSE),"")</f>
        <v/>
      </c>
      <c r="L138" s="493" t="str">
        <f>IFERROR(VLOOKUP($R138,FeeLookup!$J$5:$L$33,3,FALSE),"")</f>
        <v/>
      </c>
      <c r="M138" s="413" t="s">
        <v>65</v>
      </c>
      <c r="N138" s="414">
        <v>120</v>
      </c>
      <c r="O138" s="4"/>
      <c r="P138" s="12" t="str">
        <f t="shared" si="18"/>
        <v>TEF</v>
      </c>
      <c r="Q138" s="12" t="str">
        <f t="shared" si="19"/>
        <v/>
      </c>
      <c r="R138" s="13" t="str">
        <f t="shared" si="20"/>
        <v>_TEF_</v>
      </c>
      <c r="S138" s="13" t="str">
        <f t="shared" si="21"/>
        <v/>
      </c>
      <c r="T138" s="12" t="str">
        <f t="shared" si="22"/>
        <v/>
      </c>
      <c r="U138" s="12" t="str">
        <f t="shared" si="23"/>
        <v/>
      </c>
      <c r="V138" s="12" t="str">
        <f t="shared" si="30"/>
        <v>NO</v>
      </c>
      <c r="W138" s="14" t="str">
        <f t="shared" si="24"/>
        <v/>
      </c>
      <c r="X138" s="14" t="str">
        <f t="shared" si="17"/>
        <v/>
      </c>
      <c r="Y138" s="14" t="str">
        <f t="shared" si="25"/>
        <v/>
      </c>
      <c r="Z138" s="15" t="str">
        <f t="shared" si="26"/>
        <v/>
      </c>
      <c r="AA138" s="342">
        <f t="shared" si="27"/>
        <v>0</v>
      </c>
      <c r="AB138" s="342">
        <f t="shared" si="27"/>
        <v>0</v>
      </c>
      <c r="AC138" s="342">
        <f t="shared" si="28"/>
        <v>0</v>
      </c>
      <c r="AD138" s="342">
        <f t="shared" si="29"/>
        <v>0</v>
      </c>
    </row>
    <row r="139" spans="1:30" ht="12.75" customHeight="1" x14ac:dyDescent="0.2">
      <c r="A139" s="71">
        <v>121</v>
      </c>
      <c r="B139" s="17"/>
      <c r="C139" s="17"/>
      <c r="D139" s="17"/>
      <c r="E139" s="497"/>
      <c r="F139" s="497"/>
      <c r="G139" s="497"/>
      <c r="H139" s="497"/>
      <c r="I139" s="73"/>
      <c r="J139" s="492"/>
      <c r="K139" s="493" t="str">
        <f>IFERROR(VLOOKUP($R139,FeeLookup!$J$5:$L$33,2,FALSE),"")</f>
        <v/>
      </c>
      <c r="L139" s="493" t="str">
        <f>IFERROR(VLOOKUP($R139,FeeLookup!$J$5:$L$33,3,FALSE),"")</f>
        <v/>
      </c>
      <c r="M139" s="413" t="s">
        <v>65</v>
      </c>
      <c r="N139" s="414">
        <v>121</v>
      </c>
      <c r="O139" s="4"/>
      <c r="P139" s="12" t="str">
        <f t="shared" si="18"/>
        <v>TEF</v>
      </c>
      <c r="Q139" s="12" t="str">
        <f t="shared" si="19"/>
        <v/>
      </c>
      <c r="R139" s="13" t="str">
        <f t="shared" si="20"/>
        <v>_TEF_</v>
      </c>
      <c r="S139" s="13" t="str">
        <f t="shared" si="21"/>
        <v/>
      </c>
      <c r="T139" s="12" t="str">
        <f t="shared" si="22"/>
        <v/>
      </c>
      <c r="U139" s="12" t="str">
        <f t="shared" si="23"/>
        <v/>
      </c>
      <c r="V139" s="12" t="str">
        <f t="shared" si="30"/>
        <v>NO</v>
      </c>
      <c r="W139" s="14" t="str">
        <f t="shared" si="24"/>
        <v/>
      </c>
      <c r="X139" s="14" t="str">
        <f t="shared" si="17"/>
        <v/>
      </c>
      <c r="Y139" s="14" t="str">
        <f t="shared" si="25"/>
        <v/>
      </c>
      <c r="Z139" s="15" t="str">
        <f t="shared" si="26"/>
        <v/>
      </c>
      <c r="AA139" s="342">
        <f t="shared" si="27"/>
        <v>0</v>
      </c>
      <c r="AB139" s="342">
        <f t="shared" si="27"/>
        <v>0</v>
      </c>
      <c r="AC139" s="342">
        <f t="shared" si="28"/>
        <v>0</v>
      </c>
      <c r="AD139" s="342">
        <f t="shared" si="29"/>
        <v>0</v>
      </c>
    </row>
    <row r="140" spans="1:30" ht="12.75" customHeight="1" x14ac:dyDescent="0.2">
      <c r="A140" s="71">
        <v>122</v>
      </c>
      <c r="B140" s="17"/>
      <c r="C140" s="17"/>
      <c r="D140" s="17"/>
      <c r="E140" s="497"/>
      <c r="F140" s="497"/>
      <c r="G140" s="497"/>
      <c r="H140" s="497"/>
      <c r="I140" s="73"/>
      <c r="J140" s="492"/>
      <c r="K140" s="493" t="str">
        <f>IFERROR(VLOOKUP($R140,FeeLookup!$J$5:$L$33,2,FALSE),"")</f>
        <v/>
      </c>
      <c r="L140" s="493" t="str">
        <f>IFERROR(VLOOKUP($R140,FeeLookup!$J$5:$L$33,3,FALSE),"")</f>
        <v/>
      </c>
      <c r="M140" s="413" t="s">
        <v>65</v>
      </c>
      <c r="N140" s="414">
        <v>122</v>
      </c>
      <c r="O140" s="4"/>
      <c r="P140" s="12" t="str">
        <f t="shared" si="18"/>
        <v>TEF</v>
      </c>
      <c r="Q140" s="12" t="str">
        <f t="shared" si="19"/>
        <v/>
      </c>
      <c r="R140" s="13" t="str">
        <f t="shared" si="20"/>
        <v>_TEF_</v>
      </c>
      <c r="S140" s="13" t="str">
        <f t="shared" si="21"/>
        <v/>
      </c>
      <c r="T140" s="12" t="str">
        <f t="shared" si="22"/>
        <v/>
      </c>
      <c r="U140" s="12" t="str">
        <f t="shared" si="23"/>
        <v/>
      </c>
      <c r="V140" s="12" t="str">
        <f t="shared" si="30"/>
        <v>NO</v>
      </c>
      <c r="W140" s="14" t="str">
        <f t="shared" si="24"/>
        <v/>
      </c>
      <c r="X140" s="14" t="str">
        <f t="shared" si="17"/>
        <v/>
      </c>
      <c r="Y140" s="14" t="str">
        <f t="shared" si="25"/>
        <v/>
      </c>
      <c r="Z140" s="15" t="str">
        <f t="shared" si="26"/>
        <v/>
      </c>
      <c r="AA140" s="342">
        <f t="shared" si="27"/>
        <v>0</v>
      </c>
      <c r="AB140" s="342">
        <f t="shared" si="27"/>
        <v>0</v>
      </c>
      <c r="AC140" s="342">
        <f t="shared" si="28"/>
        <v>0</v>
      </c>
      <c r="AD140" s="342">
        <f t="shared" si="29"/>
        <v>0</v>
      </c>
    </row>
    <row r="141" spans="1:30" ht="12.75" customHeight="1" x14ac:dyDescent="0.2">
      <c r="A141" s="71">
        <v>123</v>
      </c>
      <c r="B141" s="17"/>
      <c r="C141" s="17"/>
      <c r="D141" s="17"/>
      <c r="E141" s="497"/>
      <c r="F141" s="497"/>
      <c r="G141" s="497"/>
      <c r="H141" s="497"/>
      <c r="I141" s="73"/>
      <c r="J141" s="492"/>
      <c r="K141" s="493" t="str">
        <f>IFERROR(VLOOKUP($R141,FeeLookup!$J$5:$L$33,2,FALSE),"")</f>
        <v/>
      </c>
      <c r="L141" s="493" t="str">
        <f>IFERROR(VLOOKUP($R141,FeeLookup!$J$5:$L$33,3,FALSE),"")</f>
        <v/>
      </c>
      <c r="M141" s="413" t="s">
        <v>65</v>
      </c>
      <c r="N141" s="414">
        <v>123</v>
      </c>
      <c r="O141" s="4"/>
      <c r="P141" s="12" t="str">
        <f t="shared" si="18"/>
        <v>TEF</v>
      </c>
      <c r="Q141" s="12" t="str">
        <f t="shared" si="19"/>
        <v/>
      </c>
      <c r="R141" s="13" t="str">
        <f t="shared" si="20"/>
        <v>_TEF_</v>
      </c>
      <c r="S141" s="13" t="str">
        <f t="shared" si="21"/>
        <v/>
      </c>
      <c r="T141" s="12" t="str">
        <f t="shared" si="22"/>
        <v/>
      </c>
      <c r="U141" s="12" t="str">
        <f t="shared" si="23"/>
        <v/>
      </c>
      <c r="V141" s="12" t="str">
        <f t="shared" si="30"/>
        <v>NO</v>
      </c>
      <c r="W141" s="14" t="str">
        <f t="shared" si="24"/>
        <v/>
      </c>
      <c r="X141" s="14" t="str">
        <f t="shared" si="17"/>
        <v/>
      </c>
      <c r="Y141" s="14" t="str">
        <f t="shared" si="25"/>
        <v/>
      </c>
      <c r="Z141" s="15" t="str">
        <f t="shared" si="26"/>
        <v/>
      </c>
      <c r="AA141" s="342">
        <f t="shared" si="27"/>
        <v>0</v>
      </c>
      <c r="AB141" s="342">
        <f t="shared" si="27"/>
        <v>0</v>
      </c>
      <c r="AC141" s="342">
        <f t="shared" si="28"/>
        <v>0</v>
      </c>
      <c r="AD141" s="342">
        <f t="shared" si="29"/>
        <v>0</v>
      </c>
    </row>
    <row r="142" spans="1:30" ht="12.75" customHeight="1" x14ac:dyDescent="0.2">
      <c r="A142" s="71">
        <v>124</v>
      </c>
      <c r="B142" s="17"/>
      <c r="C142" s="17"/>
      <c r="D142" s="17"/>
      <c r="E142" s="497"/>
      <c r="F142" s="497"/>
      <c r="G142" s="497"/>
      <c r="H142" s="497"/>
      <c r="I142" s="73"/>
      <c r="J142" s="492"/>
      <c r="K142" s="493" t="str">
        <f>IFERROR(VLOOKUP($R142,FeeLookup!$J$5:$L$33,2,FALSE),"")</f>
        <v/>
      </c>
      <c r="L142" s="493" t="str">
        <f>IFERROR(VLOOKUP($R142,FeeLookup!$J$5:$L$33,3,FALSE),"")</f>
        <v/>
      </c>
      <c r="M142" s="413" t="s">
        <v>65</v>
      </c>
      <c r="N142" s="414">
        <v>124</v>
      </c>
      <c r="O142" s="4"/>
      <c r="P142" s="12" t="str">
        <f t="shared" si="18"/>
        <v>TEF</v>
      </c>
      <c r="Q142" s="12" t="str">
        <f t="shared" si="19"/>
        <v/>
      </c>
      <c r="R142" s="13" t="str">
        <f t="shared" si="20"/>
        <v>_TEF_</v>
      </c>
      <c r="S142" s="13" t="str">
        <f t="shared" si="21"/>
        <v/>
      </c>
      <c r="T142" s="12" t="str">
        <f t="shared" si="22"/>
        <v/>
      </c>
      <c r="U142" s="12" t="str">
        <f t="shared" si="23"/>
        <v/>
      </c>
      <c r="V142" s="12" t="str">
        <f t="shared" si="30"/>
        <v>NO</v>
      </c>
      <c r="W142" s="14" t="str">
        <f t="shared" si="24"/>
        <v/>
      </c>
      <c r="X142" s="14" t="str">
        <f t="shared" si="17"/>
        <v/>
      </c>
      <c r="Y142" s="14" t="str">
        <f t="shared" si="25"/>
        <v/>
      </c>
      <c r="Z142" s="15" t="str">
        <f t="shared" si="26"/>
        <v/>
      </c>
      <c r="AA142" s="342">
        <f t="shared" si="27"/>
        <v>0</v>
      </c>
      <c r="AB142" s="342">
        <f t="shared" si="27"/>
        <v>0</v>
      </c>
      <c r="AC142" s="342">
        <f t="shared" si="28"/>
        <v>0</v>
      </c>
      <c r="AD142" s="342">
        <f t="shared" si="29"/>
        <v>0</v>
      </c>
    </row>
    <row r="143" spans="1:30" ht="12.75" customHeight="1" x14ac:dyDescent="0.2">
      <c r="A143" s="71">
        <v>125</v>
      </c>
      <c r="B143" s="17"/>
      <c r="C143" s="17"/>
      <c r="D143" s="17"/>
      <c r="E143" s="497"/>
      <c r="F143" s="497"/>
      <c r="G143" s="497"/>
      <c r="H143" s="497"/>
      <c r="I143" s="73"/>
      <c r="J143" s="492"/>
      <c r="K143" s="493" t="str">
        <f>IFERROR(VLOOKUP($R143,FeeLookup!$J$5:$L$33,2,FALSE),"")</f>
        <v/>
      </c>
      <c r="L143" s="493" t="str">
        <f>IFERROR(VLOOKUP($R143,FeeLookup!$J$5:$L$33,3,FALSE),"")</f>
        <v/>
      </c>
      <c r="M143" s="413" t="s">
        <v>65</v>
      </c>
      <c r="N143" s="414">
        <v>125</v>
      </c>
      <c r="O143" s="4"/>
      <c r="P143" s="12" t="str">
        <f t="shared" si="18"/>
        <v>TEF</v>
      </c>
      <c r="Q143" s="12" t="str">
        <f t="shared" si="19"/>
        <v/>
      </c>
      <c r="R143" s="13" t="str">
        <f t="shared" si="20"/>
        <v>_TEF_</v>
      </c>
      <c r="S143" s="13" t="str">
        <f t="shared" si="21"/>
        <v/>
      </c>
      <c r="T143" s="12" t="str">
        <f t="shared" si="22"/>
        <v/>
      </c>
      <c r="U143" s="12" t="str">
        <f t="shared" si="23"/>
        <v/>
      </c>
      <c r="V143" s="12" t="str">
        <f t="shared" si="30"/>
        <v>NO</v>
      </c>
      <c r="W143" s="14" t="str">
        <f t="shared" si="24"/>
        <v/>
      </c>
      <c r="X143" s="14" t="str">
        <f t="shared" si="17"/>
        <v/>
      </c>
      <c r="Y143" s="14" t="str">
        <f t="shared" si="25"/>
        <v/>
      </c>
      <c r="Z143" s="15" t="str">
        <f t="shared" si="26"/>
        <v/>
      </c>
      <c r="AA143" s="342">
        <f t="shared" si="27"/>
        <v>0</v>
      </c>
      <c r="AB143" s="342">
        <f t="shared" si="27"/>
        <v>0</v>
      </c>
      <c r="AC143" s="342">
        <f t="shared" si="28"/>
        <v>0</v>
      </c>
      <c r="AD143" s="342">
        <f t="shared" si="29"/>
        <v>0</v>
      </c>
    </row>
    <row r="144" spans="1:30" ht="12.75" customHeight="1" x14ac:dyDescent="0.2">
      <c r="A144" s="71">
        <v>126</v>
      </c>
      <c r="B144" s="17"/>
      <c r="C144" s="17"/>
      <c r="D144" s="17"/>
      <c r="E144" s="497"/>
      <c r="F144" s="497"/>
      <c r="G144" s="497"/>
      <c r="H144" s="497"/>
      <c r="I144" s="73"/>
      <c r="J144" s="492"/>
      <c r="K144" s="493" t="str">
        <f>IFERROR(VLOOKUP($R144,FeeLookup!$J$5:$L$33,2,FALSE),"")</f>
        <v/>
      </c>
      <c r="L144" s="493" t="str">
        <f>IFERROR(VLOOKUP($R144,FeeLookup!$J$5:$L$33,3,FALSE),"")</f>
        <v/>
      </c>
      <c r="M144" s="413" t="s">
        <v>65</v>
      </c>
      <c r="N144" s="414">
        <v>126</v>
      </c>
      <c r="O144" s="4"/>
      <c r="P144" s="12" t="str">
        <f t="shared" si="18"/>
        <v>TEF</v>
      </c>
      <c r="Q144" s="12" t="str">
        <f t="shared" si="19"/>
        <v/>
      </c>
      <c r="R144" s="13" t="str">
        <f t="shared" si="20"/>
        <v>_TEF_</v>
      </c>
      <c r="S144" s="13" t="str">
        <f t="shared" si="21"/>
        <v/>
      </c>
      <c r="T144" s="12" t="str">
        <f t="shared" si="22"/>
        <v/>
      </c>
      <c r="U144" s="12" t="str">
        <f t="shared" si="23"/>
        <v/>
      </c>
      <c r="V144" s="12" t="str">
        <f t="shared" si="30"/>
        <v>NO</v>
      </c>
      <c r="W144" s="14" t="str">
        <f t="shared" si="24"/>
        <v/>
      </c>
      <c r="X144" s="14" t="str">
        <f t="shared" si="17"/>
        <v/>
      </c>
      <c r="Y144" s="14" t="str">
        <f t="shared" si="25"/>
        <v/>
      </c>
      <c r="Z144" s="15" t="str">
        <f t="shared" si="26"/>
        <v/>
      </c>
      <c r="AA144" s="342">
        <f t="shared" si="27"/>
        <v>0</v>
      </c>
      <c r="AB144" s="342">
        <f t="shared" si="27"/>
        <v>0</v>
      </c>
      <c r="AC144" s="342">
        <f t="shared" si="28"/>
        <v>0</v>
      </c>
      <c r="AD144" s="342">
        <f t="shared" si="29"/>
        <v>0</v>
      </c>
    </row>
    <row r="145" spans="1:30" ht="12.75" customHeight="1" x14ac:dyDescent="0.2">
      <c r="A145" s="71">
        <v>127</v>
      </c>
      <c r="B145" s="17"/>
      <c r="C145" s="17"/>
      <c r="D145" s="17"/>
      <c r="E145" s="497"/>
      <c r="F145" s="497"/>
      <c r="G145" s="497"/>
      <c r="H145" s="497"/>
      <c r="I145" s="73"/>
      <c r="J145" s="492"/>
      <c r="K145" s="493" t="str">
        <f>IFERROR(VLOOKUP($R145,FeeLookup!$J$5:$L$33,2,FALSE),"")</f>
        <v/>
      </c>
      <c r="L145" s="493" t="str">
        <f>IFERROR(VLOOKUP($R145,FeeLookup!$J$5:$L$33,3,FALSE),"")</f>
        <v/>
      </c>
      <c r="M145" s="413" t="s">
        <v>65</v>
      </c>
      <c r="N145" s="414">
        <v>127</v>
      </c>
      <c r="O145" s="4"/>
      <c r="P145" s="12" t="str">
        <f t="shared" si="18"/>
        <v>TEF</v>
      </c>
      <c r="Q145" s="12" t="str">
        <f t="shared" si="19"/>
        <v/>
      </c>
      <c r="R145" s="13" t="str">
        <f t="shared" si="20"/>
        <v>_TEF_</v>
      </c>
      <c r="S145" s="13" t="str">
        <f t="shared" si="21"/>
        <v/>
      </c>
      <c r="T145" s="12" t="str">
        <f t="shared" si="22"/>
        <v/>
      </c>
      <c r="U145" s="12" t="str">
        <f t="shared" si="23"/>
        <v/>
      </c>
      <c r="V145" s="12" t="str">
        <f t="shared" si="30"/>
        <v>NO</v>
      </c>
      <c r="W145" s="14" t="str">
        <f t="shared" si="24"/>
        <v/>
      </c>
      <c r="X145" s="14" t="str">
        <f t="shared" si="17"/>
        <v/>
      </c>
      <c r="Y145" s="14" t="str">
        <f t="shared" si="25"/>
        <v/>
      </c>
      <c r="Z145" s="15" t="str">
        <f t="shared" si="26"/>
        <v/>
      </c>
      <c r="AA145" s="342">
        <f t="shared" si="27"/>
        <v>0</v>
      </c>
      <c r="AB145" s="342">
        <f t="shared" si="27"/>
        <v>0</v>
      </c>
      <c r="AC145" s="342">
        <f t="shared" si="28"/>
        <v>0</v>
      </c>
      <c r="AD145" s="342">
        <f t="shared" si="29"/>
        <v>0</v>
      </c>
    </row>
    <row r="146" spans="1:30" ht="12.75" customHeight="1" x14ac:dyDescent="0.2">
      <c r="A146" s="71">
        <v>128</v>
      </c>
      <c r="B146" s="17"/>
      <c r="C146" s="17"/>
      <c r="D146" s="17"/>
      <c r="E146" s="497"/>
      <c r="F146" s="497"/>
      <c r="G146" s="497"/>
      <c r="H146" s="497"/>
      <c r="I146" s="73"/>
      <c r="J146" s="492"/>
      <c r="K146" s="493" t="str">
        <f>IFERROR(VLOOKUP($R146,FeeLookup!$J$5:$L$33,2,FALSE),"")</f>
        <v/>
      </c>
      <c r="L146" s="493" t="str">
        <f>IFERROR(VLOOKUP($R146,FeeLookup!$J$5:$L$33,3,FALSE),"")</f>
        <v/>
      </c>
      <c r="M146" s="413" t="s">
        <v>65</v>
      </c>
      <c r="N146" s="414">
        <v>128</v>
      </c>
      <c r="O146" s="4"/>
      <c r="P146" s="12" t="str">
        <f t="shared" si="18"/>
        <v>TEF</v>
      </c>
      <c r="Q146" s="12" t="str">
        <f t="shared" si="19"/>
        <v/>
      </c>
      <c r="R146" s="13" t="str">
        <f t="shared" si="20"/>
        <v>_TEF_</v>
      </c>
      <c r="S146" s="13" t="str">
        <f t="shared" si="21"/>
        <v/>
      </c>
      <c r="T146" s="12" t="str">
        <f t="shared" si="22"/>
        <v/>
      </c>
      <c r="U146" s="12" t="str">
        <f t="shared" si="23"/>
        <v/>
      </c>
      <c r="V146" s="12" t="str">
        <f t="shared" si="30"/>
        <v>NO</v>
      </c>
      <c r="W146" s="14" t="str">
        <f t="shared" si="24"/>
        <v/>
      </c>
      <c r="X146" s="14" t="str">
        <f t="shared" si="17"/>
        <v/>
      </c>
      <c r="Y146" s="14" t="str">
        <f t="shared" si="25"/>
        <v/>
      </c>
      <c r="Z146" s="15" t="str">
        <f t="shared" si="26"/>
        <v/>
      </c>
      <c r="AA146" s="342">
        <f t="shared" si="27"/>
        <v>0</v>
      </c>
      <c r="AB146" s="342">
        <f t="shared" si="27"/>
        <v>0</v>
      </c>
      <c r="AC146" s="342">
        <f t="shared" si="28"/>
        <v>0</v>
      </c>
      <c r="AD146" s="342">
        <f t="shared" si="29"/>
        <v>0</v>
      </c>
    </row>
    <row r="147" spans="1:30" ht="12.75" customHeight="1" x14ac:dyDescent="0.2">
      <c r="A147" s="71">
        <v>129</v>
      </c>
      <c r="B147" s="17"/>
      <c r="C147" s="17"/>
      <c r="D147" s="17"/>
      <c r="E147" s="497"/>
      <c r="F147" s="497"/>
      <c r="G147" s="497"/>
      <c r="H147" s="497"/>
      <c r="I147" s="73"/>
      <c r="J147" s="492"/>
      <c r="K147" s="493" t="str">
        <f>IFERROR(VLOOKUP($R147,FeeLookup!$J$5:$L$33,2,FALSE),"")</f>
        <v/>
      </c>
      <c r="L147" s="493" t="str">
        <f>IFERROR(VLOOKUP($R147,FeeLookup!$J$5:$L$33,3,FALSE),"")</f>
        <v/>
      </c>
      <c r="M147" s="413" t="s">
        <v>65</v>
      </c>
      <c r="N147" s="414">
        <v>129</v>
      </c>
      <c r="O147" s="4"/>
      <c r="P147" s="12" t="str">
        <f t="shared" si="18"/>
        <v>TEF</v>
      </c>
      <c r="Q147" s="12" t="str">
        <f t="shared" si="19"/>
        <v/>
      </c>
      <c r="R147" s="13" t="str">
        <f t="shared" si="20"/>
        <v>_TEF_</v>
      </c>
      <c r="S147" s="13" t="str">
        <f t="shared" si="21"/>
        <v/>
      </c>
      <c r="T147" s="12" t="str">
        <f t="shared" si="22"/>
        <v/>
      </c>
      <c r="U147" s="12" t="str">
        <f t="shared" si="23"/>
        <v/>
      </c>
      <c r="V147" s="12" t="str">
        <f t="shared" ref="V147:V168" si="31">IF(COUNTBLANK(B147:J147)=9,"NO","YES")</f>
        <v>NO</v>
      </c>
      <c r="W147" s="14" t="str">
        <f t="shared" si="24"/>
        <v/>
      </c>
      <c r="X147" s="14" t="str">
        <f t="shared" ref="X147:X168" si="32">IF(V147="NO","",IF(SUM(E147:H147)&gt;0,"YES","NO"))</f>
        <v/>
      </c>
      <c r="Y147" s="14" t="str">
        <f t="shared" si="25"/>
        <v/>
      </c>
      <c r="Z147" s="15" t="str">
        <f t="shared" si="26"/>
        <v/>
      </c>
      <c r="AA147" s="342">
        <f t="shared" si="27"/>
        <v>0</v>
      </c>
      <c r="AB147" s="342">
        <f t="shared" si="27"/>
        <v>0</v>
      </c>
      <c r="AC147" s="342">
        <f t="shared" si="28"/>
        <v>0</v>
      </c>
      <c r="AD147" s="342">
        <f t="shared" si="29"/>
        <v>0</v>
      </c>
    </row>
    <row r="148" spans="1:30" ht="12.75" customHeight="1" x14ac:dyDescent="0.2">
      <c r="A148" s="71">
        <v>130</v>
      </c>
      <c r="B148" s="17"/>
      <c r="C148" s="17"/>
      <c r="D148" s="17"/>
      <c r="E148" s="497"/>
      <c r="F148" s="497"/>
      <c r="G148" s="497"/>
      <c r="H148" s="497"/>
      <c r="I148" s="73"/>
      <c r="J148" s="492"/>
      <c r="K148" s="493" t="str">
        <f>IFERROR(VLOOKUP($R148,FeeLookup!$J$5:$L$33,2,FALSE),"")</f>
        <v/>
      </c>
      <c r="L148" s="493" t="str">
        <f>IFERROR(VLOOKUP($R148,FeeLookup!$J$5:$L$33,3,FALSE),"")</f>
        <v/>
      </c>
      <c r="M148" s="413" t="s">
        <v>65</v>
      </c>
      <c r="N148" s="414">
        <v>130</v>
      </c>
      <c r="O148" s="4"/>
      <c r="P148" s="12" t="str">
        <f t="shared" ref="P148:P168" si="33">IF($A$4="Expected TEF year 3 status: We hold or have applied for a TEF award for 2019-20.","TEF","No TEF")</f>
        <v>TEF</v>
      </c>
      <c r="Q148" s="12" t="str">
        <f t="shared" ref="Q148:Q168" si="34">IF(B148="","",IF(B148="Erasmus and overseas study years","LOWER",IF(B148="Sandwich year","SAND",IF(B148="Accelerated Degree","ACCEL","FULL"))))</f>
        <v/>
      </c>
      <c r="R148" s="13" t="str">
        <f t="shared" ref="R148:R168" si="35">CONCATENATE(Q148,IF(P148="No TEF","_NO_TEF_",IF(P148="TEF","_TEF_","")))</f>
        <v>_TEF_</v>
      </c>
      <c r="S148" s="13" t="str">
        <f t="shared" ref="S148:S168" si="36">IF(K148="","",IF(J148="","0",J148))</f>
        <v/>
      </c>
      <c r="T148" s="12" t="str">
        <f t="shared" ref="T148:T168" si="37">IF(K148="","",IF((J148-K148)&gt;0,"YES","NO"))</f>
        <v/>
      </c>
      <c r="U148" s="12" t="str">
        <f t="shared" ref="U148:U168" si="38">IF(J148="","",IF(J148&lt;K148,"BBFC",IF(J148&gt;L148,"AHFC","BBHFC")))</f>
        <v/>
      </c>
      <c r="V148" s="12" t="str">
        <f t="shared" si="31"/>
        <v>NO</v>
      </c>
      <c r="W148" s="14" t="str">
        <f t="shared" ref="W148:W168" si="39">IF(V148="NO","",IF(AND(COUNTBLANK(B148:C148)=0,COUNTBLANK(J148)=0, COUNTBLANK(I148)=0,COUNTBLANK(E148:H148)&lt;&gt;4),"YES","NO"))</f>
        <v/>
      </c>
      <c r="X148" s="14" t="str">
        <f t="shared" si="32"/>
        <v/>
      </c>
      <c r="Y148" s="14" t="str">
        <f t="shared" ref="Y148:Y168" si="40">IF(OR(W148="NO",X148="NO",U148="AHFC"),"FLAG","")</f>
        <v/>
      </c>
      <c r="Z148" s="15" t="str">
        <f t="shared" ref="Z148:Z168" si="41">IF(OR(J148="",W148=""),"",IF(J148-K148&lt;0,0,J148-K148))</f>
        <v/>
      </c>
      <c r="AA148" s="342">
        <f t="shared" ref="AA148:AB168" si="42">IF(IF(ISERROR($J148-$K148)=TRUE,0,$J148-$K148)&gt;0,E148,0)</f>
        <v>0</v>
      </c>
      <c r="AB148" s="342">
        <f t="shared" si="42"/>
        <v>0</v>
      </c>
      <c r="AC148" s="342">
        <f t="shared" si="28"/>
        <v>0</v>
      </c>
      <c r="AD148" s="342">
        <f t="shared" si="29"/>
        <v>0</v>
      </c>
    </row>
    <row r="149" spans="1:30" ht="12.75" customHeight="1" x14ac:dyDescent="0.2">
      <c r="A149" s="71">
        <v>131</v>
      </c>
      <c r="B149" s="17"/>
      <c r="C149" s="17"/>
      <c r="D149" s="17"/>
      <c r="E149" s="497"/>
      <c r="F149" s="497"/>
      <c r="G149" s="497"/>
      <c r="H149" s="497"/>
      <c r="I149" s="73"/>
      <c r="J149" s="492"/>
      <c r="K149" s="493" t="str">
        <f>IFERROR(VLOOKUP($R149,FeeLookup!$J$5:$L$33,2,FALSE),"")</f>
        <v/>
      </c>
      <c r="L149" s="493" t="str">
        <f>IFERROR(VLOOKUP($R149,FeeLookup!$J$5:$L$33,3,FALSE),"")</f>
        <v/>
      </c>
      <c r="M149" s="413" t="s">
        <v>65</v>
      </c>
      <c r="N149" s="414">
        <v>131</v>
      </c>
      <c r="O149" s="4"/>
      <c r="P149" s="12" t="str">
        <f t="shared" si="33"/>
        <v>TEF</v>
      </c>
      <c r="Q149" s="12" t="str">
        <f t="shared" si="34"/>
        <v/>
      </c>
      <c r="R149" s="13" t="str">
        <f t="shared" si="35"/>
        <v>_TEF_</v>
      </c>
      <c r="S149" s="13" t="str">
        <f t="shared" si="36"/>
        <v/>
      </c>
      <c r="T149" s="12" t="str">
        <f t="shared" si="37"/>
        <v/>
      </c>
      <c r="U149" s="12" t="str">
        <f t="shared" si="38"/>
        <v/>
      </c>
      <c r="V149" s="12" t="str">
        <f t="shared" si="31"/>
        <v>NO</v>
      </c>
      <c r="W149" s="14" t="str">
        <f t="shared" si="39"/>
        <v/>
      </c>
      <c r="X149" s="14" t="str">
        <f t="shared" si="32"/>
        <v/>
      </c>
      <c r="Y149" s="14" t="str">
        <f t="shared" si="40"/>
        <v/>
      </c>
      <c r="Z149" s="15" t="str">
        <f t="shared" si="41"/>
        <v/>
      </c>
      <c r="AA149" s="342">
        <f t="shared" si="42"/>
        <v>0</v>
      </c>
      <c r="AB149" s="342">
        <f t="shared" si="42"/>
        <v>0</v>
      </c>
      <c r="AC149" s="342">
        <f t="shared" si="28"/>
        <v>0</v>
      </c>
      <c r="AD149" s="342">
        <f t="shared" si="29"/>
        <v>0</v>
      </c>
    </row>
    <row r="150" spans="1:30" ht="12.75" customHeight="1" x14ac:dyDescent="0.2">
      <c r="A150" s="71">
        <v>132</v>
      </c>
      <c r="B150" s="17"/>
      <c r="C150" s="17"/>
      <c r="D150" s="17"/>
      <c r="E150" s="497"/>
      <c r="F150" s="497"/>
      <c r="G150" s="497"/>
      <c r="H150" s="497"/>
      <c r="I150" s="73"/>
      <c r="J150" s="492"/>
      <c r="K150" s="493" t="str">
        <f>IFERROR(VLOOKUP($R150,FeeLookup!$J$5:$L$33,2,FALSE),"")</f>
        <v/>
      </c>
      <c r="L150" s="493" t="str">
        <f>IFERROR(VLOOKUP($R150,FeeLookup!$J$5:$L$33,3,FALSE),"")</f>
        <v/>
      </c>
      <c r="M150" s="413" t="s">
        <v>65</v>
      </c>
      <c r="N150" s="414">
        <v>132</v>
      </c>
      <c r="O150" s="4"/>
      <c r="P150" s="12" t="str">
        <f t="shared" si="33"/>
        <v>TEF</v>
      </c>
      <c r="Q150" s="12" t="str">
        <f t="shared" si="34"/>
        <v/>
      </c>
      <c r="R150" s="13" t="str">
        <f t="shared" si="35"/>
        <v>_TEF_</v>
      </c>
      <c r="S150" s="13" t="str">
        <f t="shared" si="36"/>
        <v/>
      </c>
      <c r="T150" s="12" t="str">
        <f t="shared" si="37"/>
        <v/>
      </c>
      <c r="U150" s="12" t="str">
        <f t="shared" si="38"/>
        <v/>
      </c>
      <c r="V150" s="12" t="str">
        <f t="shared" si="31"/>
        <v>NO</v>
      </c>
      <c r="W150" s="14" t="str">
        <f t="shared" si="39"/>
        <v/>
      </c>
      <c r="X150" s="14" t="str">
        <f t="shared" si="32"/>
        <v/>
      </c>
      <c r="Y150" s="14" t="str">
        <f t="shared" si="40"/>
        <v/>
      </c>
      <c r="Z150" s="15" t="str">
        <f t="shared" si="41"/>
        <v/>
      </c>
      <c r="AA150" s="342">
        <f t="shared" si="42"/>
        <v>0</v>
      </c>
      <c r="AB150" s="342">
        <f t="shared" si="42"/>
        <v>0</v>
      </c>
      <c r="AC150" s="342">
        <f t="shared" si="28"/>
        <v>0</v>
      </c>
      <c r="AD150" s="342">
        <f t="shared" si="29"/>
        <v>0</v>
      </c>
    </row>
    <row r="151" spans="1:30" ht="12.75" customHeight="1" x14ac:dyDescent="0.2">
      <c r="A151" s="71">
        <v>133</v>
      </c>
      <c r="B151" s="17"/>
      <c r="C151" s="17"/>
      <c r="D151" s="17"/>
      <c r="E151" s="497"/>
      <c r="F151" s="497"/>
      <c r="G151" s="497"/>
      <c r="H151" s="497"/>
      <c r="I151" s="73"/>
      <c r="J151" s="492"/>
      <c r="K151" s="493" t="str">
        <f>IFERROR(VLOOKUP($R151,FeeLookup!$J$5:$L$33,2,FALSE),"")</f>
        <v/>
      </c>
      <c r="L151" s="493" t="str">
        <f>IFERROR(VLOOKUP($R151,FeeLookup!$J$5:$L$33,3,FALSE),"")</f>
        <v/>
      </c>
      <c r="M151" s="413" t="s">
        <v>65</v>
      </c>
      <c r="N151" s="414">
        <v>133</v>
      </c>
      <c r="O151" s="4"/>
      <c r="P151" s="12" t="str">
        <f t="shared" si="33"/>
        <v>TEF</v>
      </c>
      <c r="Q151" s="12" t="str">
        <f t="shared" si="34"/>
        <v/>
      </c>
      <c r="R151" s="13" t="str">
        <f t="shared" si="35"/>
        <v>_TEF_</v>
      </c>
      <c r="S151" s="13" t="str">
        <f t="shared" si="36"/>
        <v/>
      </c>
      <c r="T151" s="12" t="str">
        <f t="shared" si="37"/>
        <v/>
      </c>
      <c r="U151" s="12" t="str">
        <f t="shared" si="38"/>
        <v/>
      </c>
      <c r="V151" s="12" t="str">
        <f t="shared" si="31"/>
        <v>NO</v>
      </c>
      <c r="W151" s="14" t="str">
        <f t="shared" si="39"/>
        <v/>
      </c>
      <c r="X151" s="14" t="str">
        <f t="shared" si="32"/>
        <v/>
      </c>
      <c r="Y151" s="14" t="str">
        <f t="shared" si="40"/>
        <v/>
      </c>
      <c r="Z151" s="15" t="str">
        <f t="shared" si="41"/>
        <v/>
      </c>
      <c r="AA151" s="342">
        <f t="shared" si="42"/>
        <v>0</v>
      </c>
      <c r="AB151" s="342">
        <f t="shared" si="42"/>
        <v>0</v>
      </c>
      <c r="AC151" s="342">
        <f t="shared" si="28"/>
        <v>0</v>
      </c>
      <c r="AD151" s="342">
        <f t="shared" si="29"/>
        <v>0</v>
      </c>
    </row>
    <row r="152" spans="1:30" ht="12.75" customHeight="1" x14ac:dyDescent="0.2">
      <c r="A152" s="71">
        <v>134</v>
      </c>
      <c r="B152" s="17"/>
      <c r="C152" s="17"/>
      <c r="D152" s="17"/>
      <c r="E152" s="497"/>
      <c r="F152" s="497"/>
      <c r="G152" s="497"/>
      <c r="H152" s="497"/>
      <c r="I152" s="73"/>
      <c r="J152" s="492"/>
      <c r="K152" s="493" t="str">
        <f>IFERROR(VLOOKUP($R152,FeeLookup!$J$5:$L$33,2,FALSE),"")</f>
        <v/>
      </c>
      <c r="L152" s="493" t="str">
        <f>IFERROR(VLOOKUP($R152,FeeLookup!$J$5:$L$33,3,FALSE),"")</f>
        <v/>
      </c>
      <c r="M152" s="413" t="s">
        <v>65</v>
      </c>
      <c r="N152" s="414">
        <v>134</v>
      </c>
      <c r="O152" s="4"/>
      <c r="P152" s="12" t="str">
        <f t="shared" si="33"/>
        <v>TEF</v>
      </c>
      <c r="Q152" s="12" t="str">
        <f t="shared" si="34"/>
        <v/>
      </c>
      <c r="R152" s="13" t="str">
        <f t="shared" si="35"/>
        <v>_TEF_</v>
      </c>
      <c r="S152" s="13" t="str">
        <f t="shared" si="36"/>
        <v/>
      </c>
      <c r="T152" s="12" t="str">
        <f t="shared" si="37"/>
        <v/>
      </c>
      <c r="U152" s="12" t="str">
        <f t="shared" si="38"/>
        <v/>
      </c>
      <c r="V152" s="12" t="str">
        <f t="shared" si="31"/>
        <v>NO</v>
      </c>
      <c r="W152" s="14" t="str">
        <f t="shared" si="39"/>
        <v/>
      </c>
      <c r="X152" s="14" t="str">
        <f t="shared" si="32"/>
        <v/>
      </c>
      <c r="Y152" s="14" t="str">
        <f t="shared" si="40"/>
        <v/>
      </c>
      <c r="Z152" s="15" t="str">
        <f t="shared" si="41"/>
        <v/>
      </c>
      <c r="AA152" s="342">
        <f t="shared" si="42"/>
        <v>0</v>
      </c>
      <c r="AB152" s="342">
        <f t="shared" si="42"/>
        <v>0</v>
      </c>
      <c r="AC152" s="342">
        <f t="shared" si="28"/>
        <v>0</v>
      </c>
      <c r="AD152" s="342">
        <f t="shared" si="29"/>
        <v>0</v>
      </c>
    </row>
    <row r="153" spans="1:30" ht="12.75" customHeight="1" x14ac:dyDescent="0.2">
      <c r="A153" s="71">
        <v>135</v>
      </c>
      <c r="B153" s="17"/>
      <c r="C153" s="17"/>
      <c r="D153" s="17"/>
      <c r="E153" s="497"/>
      <c r="F153" s="497"/>
      <c r="G153" s="497"/>
      <c r="H153" s="497"/>
      <c r="I153" s="73"/>
      <c r="J153" s="492"/>
      <c r="K153" s="493" t="str">
        <f>IFERROR(VLOOKUP($R153,FeeLookup!$J$5:$L$33,2,FALSE),"")</f>
        <v/>
      </c>
      <c r="L153" s="493" t="str">
        <f>IFERROR(VLOOKUP($R153,FeeLookup!$J$5:$L$33,3,FALSE),"")</f>
        <v/>
      </c>
      <c r="M153" s="413" t="s">
        <v>65</v>
      </c>
      <c r="N153" s="414">
        <v>135</v>
      </c>
      <c r="O153" s="4"/>
      <c r="P153" s="12" t="str">
        <f t="shared" si="33"/>
        <v>TEF</v>
      </c>
      <c r="Q153" s="12" t="str">
        <f t="shared" si="34"/>
        <v/>
      </c>
      <c r="R153" s="13" t="str">
        <f t="shared" si="35"/>
        <v>_TEF_</v>
      </c>
      <c r="S153" s="13" t="str">
        <f t="shared" si="36"/>
        <v/>
      </c>
      <c r="T153" s="12" t="str">
        <f t="shared" si="37"/>
        <v/>
      </c>
      <c r="U153" s="12" t="str">
        <f t="shared" si="38"/>
        <v/>
      </c>
      <c r="V153" s="12" t="str">
        <f t="shared" si="31"/>
        <v>NO</v>
      </c>
      <c r="W153" s="14" t="str">
        <f t="shared" si="39"/>
        <v/>
      </c>
      <c r="X153" s="14" t="str">
        <f t="shared" si="32"/>
        <v/>
      </c>
      <c r="Y153" s="14" t="str">
        <f t="shared" si="40"/>
        <v/>
      </c>
      <c r="Z153" s="15" t="str">
        <f t="shared" si="41"/>
        <v/>
      </c>
      <c r="AA153" s="342">
        <f t="shared" si="42"/>
        <v>0</v>
      </c>
      <c r="AB153" s="342">
        <f t="shared" si="42"/>
        <v>0</v>
      </c>
      <c r="AC153" s="342">
        <f t="shared" si="28"/>
        <v>0</v>
      </c>
      <c r="AD153" s="342">
        <f t="shared" si="29"/>
        <v>0</v>
      </c>
    </row>
    <row r="154" spans="1:30" ht="12.75" customHeight="1" x14ac:dyDescent="0.2">
      <c r="A154" s="71">
        <v>136</v>
      </c>
      <c r="B154" s="17"/>
      <c r="C154" s="17"/>
      <c r="D154" s="17"/>
      <c r="E154" s="497"/>
      <c r="F154" s="497"/>
      <c r="G154" s="497"/>
      <c r="H154" s="497"/>
      <c r="I154" s="73"/>
      <c r="J154" s="492"/>
      <c r="K154" s="493" t="str">
        <f>IFERROR(VLOOKUP($R154,FeeLookup!$J$5:$L$33,2,FALSE),"")</f>
        <v/>
      </c>
      <c r="L154" s="493" t="str">
        <f>IFERROR(VLOOKUP($R154,FeeLookup!$J$5:$L$33,3,FALSE),"")</f>
        <v/>
      </c>
      <c r="M154" s="413" t="s">
        <v>65</v>
      </c>
      <c r="N154" s="414">
        <v>136</v>
      </c>
      <c r="O154" s="4"/>
      <c r="P154" s="12" t="str">
        <f t="shared" si="33"/>
        <v>TEF</v>
      </c>
      <c r="Q154" s="12" t="str">
        <f t="shared" si="34"/>
        <v/>
      </c>
      <c r="R154" s="13" t="str">
        <f t="shared" si="35"/>
        <v>_TEF_</v>
      </c>
      <c r="S154" s="13" t="str">
        <f t="shared" si="36"/>
        <v/>
      </c>
      <c r="T154" s="12" t="str">
        <f t="shared" si="37"/>
        <v/>
      </c>
      <c r="U154" s="12" t="str">
        <f t="shared" si="38"/>
        <v/>
      </c>
      <c r="V154" s="12" t="str">
        <f t="shared" si="31"/>
        <v>NO</v>
      </c>
      <c r="W154" s="14" t="str">
        <f t="shared" si="39"/>
        <v/>
      </c>
      <c r="X154" s="14" t="str">
        <f t="shared" si="32"/>
        <v/>
      </c>
      <c r="Y154" s="14" t="str">
        <f t="shared" si="40"/>
        <v/>
      </c>
      <c r="Z154" s="15" t="str">
        <f t="shared" si="41"/>
        <v/>
      </c>
      <c r="AA154" s="342">
        <f t="shared" si="42"/>
        <v>0</v>
      </c>
      <c r="AB154" s="342">
        <f t="shared" si="42"/>
        <v>0</v>
      </c>
      <c r="AC154" s="342">
        <f t="shared" si="28"/>
        <v>0</v>
      </c>
      <c r="AD154" s="342">
        <f t="shared" si="29"/>
        <v>0</v>
      </c>
    </row>
    <row r="155" spans="1:30" ht="12.75" customHeight="1" x14ac:dyDescent="0.2">
      <c r="A155" s="71">
        <v>137</v>
      </c>
      <c r="B155" s="17"/>
      <c r="C155" s="17"/>
      <c r="D155" s="17"/>
      <c r="E155" s="497"/>
      <c r="F155" s="497"/>
      <c r="G155" s="497"/>
      <c r="H155" s="497"/>
      <c r="I155" s="73"/>
      <c r="J155" s="492"/>
      <c r="K155" s="493" t="str">
        <f>IFERROR(VLOOKUP($R155,FeeLookup!$J$5:$L$33,2,FALSE),"")</f>
        <v/>
      </c>
      <c r="L155" s="493" t="str">
        <f>IFERROR(VLOOKUP($R155,FeeLookup!$J$5:$L$33,3,FALSE),"")</f>
        <v/>
      </c>
      <c r="M155" s="413" t="s">
        <v>65</v>
      </c>
      <c r="N155" s="414">
        <v>137</v>
      </c>
      <c r="O155" s="4"/>
      <c r="P155" s="12" t="str">
        <f t="shared" si="33"/>
        <v>TEF</v>
      </c>
      <c r="Q155" s="12" t="str">
        <f t="shared" si="34"/>
        <v/>
      </c>
      <c r="R155" s="13" t="str">
        <f t="shared" si="35"/>
        <v>_TEF_</v>
      </c>
      <c r="S155" s="13" t="str">
        <f t="shared" si="36"/>
        <v/>
      </c>
      <c r="T155" s="12" t="str">
        <f t="shared" si="37"/>
        <v/>
      </c>
      <c r="U155" s="12" t="str">
        <f t="shared" si="38"/>
        <v/>
      </c>
      <c r="V155" s="12" t="str">
        <f t="shared" si="31"/>
        <v>NO</v>
      </c>
      <c r="W155" s="14" t="str">
        <f t="shared" si="39"/>
        <v/>
      </c>
      <c r="X155" s="14" t="str">
        <f t="shared" si="32"/>
        <v/>
      </c>
      <c r="Y155" s="14" t="str">
        <f t="shared" si="40"/>
        <v/>
      </c>
      <c r="Z155" s="15" t="str">
        <f t="shared" si="41"/>
        <v/>
      </c>
      <c r="AA155" s="342">
        <f t="shared" si="42"/>
        <v>0</v>
      </c>
      <c r="AB155" s="342">
        <f t="shared" si="42"/>
        <v>0</v>
      </c>
      <c r="AC155" s="342">
        <f t="shared" si="28"/>
        <v>0</v>
      </c>
      <c r="AD155" s="342">
        <f t="shared" si="29"/>
        <v>0</v>
      </c>
    </row>
    <row r="156" spans="1:30" ht="12.75" customHeight="1" x14ac:dyDescent="0.2">
      <c r="A156" s="71">
        <v>138</v>
      </c>
      <c r="B156" s="17"/>
      <c r="C156" s="17"/>
      <c r="D156" s="17"/>
      <c r="E156" s="497"/>
      <c r="F156" s="497"/>
      <c r="G156" s="497"/>
      <c r="H156" s="497"/>
      <c r="I156" s="73"/>
      <c r="J156" s="492"/>
      <c r="K156" s="493" t="str">
        <f>IFERROR(VLOOKUP($R156,FeeLookup!$J$5:$L$33,2,FALSE),"")</f>
        <v/>
      </c>
      <c r="L156" s="493" t="str">
        <f>IFERROR(VLOOKUP($R156,FeeLookup!$J$5:$L$33,3,FALSE),"")</f>
        <v/>
      </c>
      <c r="M156" s="413" t="s">
        <v>65</v>
      </c>
      <c r="N156" s="414">
        <v>138</v>
      </c>
      <c r="O156" s="4"/>
      <c r="P156" s="12" t="str">
        <f t="shared" si="33"/>
        <v>TEF</v>
      </c>
      <c r="Q156" s="12" t="str">
        <f t="shared" si="34"/>
        <v/>
      </c>
      <c r="R156" s="13" t="str">
        <f t="shared" si="35"/>
        <v>_TEF_</v>
      </c>
      <c r="S156" s="13" t="str">
        <f t="shared" si="36"/>
        <v/>
      </c>
      <c r="T156" s="12" t="str">
        <f t="shared" si="37"/>
        <v/>
      </c>
      <c r="U156" s="12" t="str">
        <f t="shared" si="38"/>
        <v/>
      </c>
      <c r="V156" s="12" t="str">
        <f t="shared" si="31"/>
        <v>NO</v>
      </c>
      <c r="W156" s="14" t="str">
        <f t="shared" si="39"/>
        <v/>
      </c>
      <c r="X156" s="14" t="str">
        <f t="shared" si="32"/>
        <v/>
      </c>
      <c r="Y156" s="14" t="str">
        <f t="shared" si="40"/>
        <v/>
      </c>
      <c r="Z156" s="15" t="str">
        <f t="shared" si="41"/>
        <v/>
      </c>
      <c r="AA156" s="342">
        <f t="shared" si="42"/>
        <v>0</v>
      </c>
      <c r="AB156" s="342">
        <f t="shared" si="42"/>
        <v>0</v>
      </c>
      <c r="AC156" s="342">
        <f t="shared" si="28"/>
        <v>0</v>
      </c>
      <c r="AD156" s="342">
        <f t="shared" si="29"/>
        <v>0</v>
      </c>
    </row>
    <row r="157" spans="1:30" ht="12.75" customHeight="1" x14ac:dyDescent="0.2">
      <c r="A157" s="71">
        <v>139</v>
      </c>
      <c r="B157" s="17"/>
      <c r="C157" s="17"/>
      <c r="D157" s="17"/>
      <c r="E157" s="497"/>
      <c r="F157" s="497"/>
      <c r="G157" s="497"/>
      <c r="H157" s="497"/>
      <c r="I157" s="73"/>
      <c r="J157" s="492"/>
      <c r="K157" s="493" t="str">
        <f>IFERROR(VLOOKUP($R157,FeeLookup!$J$5:$L$33,2,FALSE),"")</f>
        <v/>
      </c>
      <c r="L157" s="493" t="str">
        <f>IFERROR(VLOOKUP($R157,FeeLookup!$J$5:$L$33,3,FALSE),"")</f>
        <v/>
      </c>
      <c r="M157" s="413" t="s">
        <v>65</v>
      </c>
      <c r="N157" s="414">
        <v>139</v>
      </c>
      <c r="O157" s="4"/>
      <c r="P157" s="12" t="str">
        <f t="shared" si="33"/>
        <v>TEF</v>
      </c>
      <c r="Q157" s="12" t="str">
        <f t="shared" si="34"/>
        <v/>
      </c>
      <c r="R157" s="13" t="str">
        <f t="shared" si="35"/>
        <v>_TEF_</v>
      </c>
      <c r="S157" s="13" t="str">
        <f t="shared" si="36"/>
        <v/>
      </c>
      <c r="T157" s="12" t="str">
        <f t="shared" si="37"/>
        <v/>
      </c>
      <c r="U157" s="12" t="str">
        <f t="shared" si="38"/>
        <v/>
      </c>
      <c r="V157" s="12" t="str">
        <f t="shared" si="31"/>
        <v>NO</v>
      </c>
      <c r="W157" s="14" t="str">
        <f t="shared" si="39"/>
        <v/>
      </c>
      <c r="X157" s="14" t="str">
        <f t="shared" si="32"/>
        <v/>
      </c>
      <c r="Y157" s="14" t="str">
        <f t="shared" si="40"/>
        <v/>
      </c>
      <c r="Z157" s="15" t="str">
        <f t="shared" si="41"/>
        <v/>
      </c>
      <c r="AA157" s="342">
        <f t="shared" si="42"/>
        <v>0</v>
      </c>
      <c r="AB157" s="342">
        <f t="shared" si="42"/>
        <v>0</v>
      </c>
      <c r="AC157" s="342">
        <f t="shared" si="28"/>
        <v>0</v>
      </c>
      <c r="AD157" s="342">
        <f t="shared" si="29"/>
        <v>0</v>
      </c>
    </row>
    <row r="158" spans="1:30" ht="12.75" customHeight="1" x14ac:dyDescent="0.2">
      <c r="A158" s="71">
        <v>140</v>
      </c>
      <c r="B158" s="17"/>
      <c r="C158" s="17"/>
      <c r="D158" s="17"/>
      <c r="E158" s="497"/>
      <c r="F158" s="497"/>
      <c r="G158" s="497"/>
      <c r="H158" s="497"/>
      <c r="I158" s="73"/>
      <c r="J158" s="492"/>
      <c r="K158" s="493" t="str">
        <f>IFERROR(VLOOKUP($R158,FeeLookup!$J$5:$L$33,2,FALSE),"")</f>
        <v/>
      </c>
      <c r="L158" s="493" t="str">
        <f>IFERROR(VLOOKUP($R158,FeeLookup!$J$5:$L$33,3,FALSE),"")</f>
        <v/>
      </c>
      <c r="M158" s="413" t="s">
        <v>65</v>
      </c>
      <c r="N158" s="414">
        <v>140</v>
      </c>
      <c r="O158" s="4"/>
      <c r="P158" s="12" t="str">
        <f t="shared" si="33"/>
        <v>TEF</v>
      </c>
      <c r="Q158" s="12" t="str">
        <f t="shared" si="34"/>
        <v/>
      </c>
      <c r="R158" s="13" t="str">
        <f t="shared" si="35"/>
        <v>_TEF_</v>
      </c>
      <c r="S158" s="13" t="str">
        <f t="shared" si="36"/>
        <v/>
      </c>
      <c r="T158" s="12" t="str">
        <f t="shared" si="37"/>
        <v/>
      </c>
      <c r="U158" s="12" t="str">
        <f t="shared" si="38"/>
        <v/>
      </c>
      <c r="V158" s="12" t="str">
        <f t="shared" si="31"/>
        <v>NO</v>
      </c>
      <c r="W158" s="14" t="str">
        <f t="shared" si="39"/>
        <v/>
      </c>
      <c r="X158" s="14" t="str">
        <f t="shared" si="32"/>
        <v/>
      </c>
      <c r="Y158" s="14" t="str">
        <f t="shared" si="40"/>
        <v/>
      </c>
      <c r="Z158" s="15" t="str">
        <f t="shared" si="41"/>
        <v/>
      </c>
      <c r="AA158" s="342">
        <f t="shared" si="42"/>
        <v>0</v>
      </c>
      <c r="AB158" s="342">
        <f t="shared" si="42"/>
        <v>0</v>
      </c>
      <c r="AC158" s="342">
        <f t="shared" si="28"/>
        <v>0</v>
      </c>
      <c r="AD158" s="342">
        <f t="shared" si="29"/>
        <v>0</v>
      </c>
    </row>
    <row r="159" spans="1:30" ht="12.75" customHeight="1" x14ac:dyDescent="0.2">
      <c r="A159" s="71">
        <v>141</v>
      </c>
      <c r="B159" s="17"/>
      <c r="C159" s="17"/>
      <c r="D159" s="17"/>
      <c r="E159" s="497"/>
      <c r="F159" s="497"/>
      <c r="G159" s="497"/>
      <c r="H159" s="497"/>
      <c r="I159" s="73"/>
      <c r="J159" s="492"/>
      <c r="K159" s="493" t="str">
        <f>IFERROR(VLOOKUP($R159,FeeLookup!$J$5:$L$33,2,FALSE),"")</f>
        <v/>
      </c>
      <c r="L159" s="493" t="str">
        <f>IFERROR(VLOOKUP($R159,FeeLookup!$J$5:$L$33,3,FALSE),"")</f>
        <v/>
      </c>
      <c r="M159" s="413" t="s">
        <v>65</v>
      </c>
      <c r="N159" s="414">
        <v>141</v>
      </c>
      <c r="O159" s="4"/>
      <c r="P159" s="12" t="str">
        <f t="shared" si="33"/>
        <v>TEF</v>
      </c>
      <c r="Q159" s="12" t="str">
        <f t="shared" si="34"/>
        <v/>
      </c>
      <c r="R159" s="13" t="str">
        <f t="shared" si="35"/>
        <v>_TEF_</v>
      </c>
      <c r="S159" s="13" t="str">
        <f t="shared" si="36"/>
        <v/>
      </c>
      <c r="T159" s="12" t="str">
        <f t="shared" si="37"/>
        <v/>
      </c>
      <c r="U159" s="12" t="str">
        <f t="shared" si="38"/>
        <v/>
      </c>
      <c r="V159" s="12" t="str">
        <f t="shared" si="31"/>
        <v>NO</v>
      </c>
      <c r="W159" s="14" t="str">
        <f t="shared" si="39"/>
        <v/>
      </c>
      <c r="X159" s="14" t="str">
        <f t="shared" si="32"/>
        <v/>
      </c>
      <c r="Y159" s="14" t="str">
        <f t="shared" si="40"/>
        <v/>
      </c>
      <c r="Z159" s="15" t="str">
        <f t="shared" si="41"/>
        <v/>
      </c>
      <c r="AA159" s="342">
        <f t="shared" si="42"/>
        <v>0</v>
      </c>
      <c r="AB159" s="342">
        <f t="shared" si="42"/>
        <v>0</v>
      </c>
      <c r="AC159" s="342">
        <f t="shared" si="28"/>
        <v>0</v>
      </c>
      <c r="AD159" s="342">
        <f t="shared" si="29"/>
        <v>0</v>
      </c>
    </row>
    <row r="160" spans="1:30" ht="12.75" customHeight="1" x14ac:dyDescent="0.2">
      <c r="A160" s="71">
        <v>142</v>
      </c>
      <c r="B160" s="17"/>
      <c r="C160" s="17"/>
      <c r="D160" s="17"/>
      <c r="E160" s="497"/>
      <c r="F160" s="497"/>
      <c r="G160" s="497"/>
      <c r="H160" s="497"/>
      <c r="I160" s="73"/>
      <c r="J160" s="492"/>
      <c r="K160" s="493" t="str">
        <f>IFERROR(VLOOKUP($R160,FeeLookup!$J$5:$L$33,2,FALSE),"")</f>
        <v/>
      </c>
      <c r="L160" s="493" t="str">
        <f>IFERROR(VLOOKUP($R160,FeeLookup!$J$5:$L$33,3,FALSE),"")</f>
        <v/>
      </c>
      <c r="M160" s="413" t="s">
        <v>65</v>
      </c>
      <c r="N160" s="414">
        <v>142</v>
      </c>
      <c r="O160" s="4"/>
      <c r="P160" s="12" t="str">
        <f t="shared" si="33"/>
        <v>TEF</v>
      </c>
      <c r="Q160" s="12" t="str">
        <f t="shared" si="34"/>
        <v/>
      </c>
      <c r="R160" s="13" t="str">
        <f t="shared" si="35"/>
        <v>_TEF_</v>
      </c>
      <c r="S160" s="13" t="str">
        <f t="shared" si="36"/>
        <v/>
      </c>
      <c r="T160" s="12" t="str">
        <f t="shared" si="37"/>
        <v/>
      </c>
      <c r="U160" s="12" t="str">
        <f t="shared" si="38"/>
        <v/>
      </c>
      <c r="V160" s="12" t="str">
        <f t="shared" si="31"/>
        <v>NO</v>
      </c>
      <c r="W160" s="14" t="str">
        <f t="shared" si="39"/>
        <v/>
      </c>
      <c r="X160" s="14" t="str">
        <f t="shared" si="32"/>
        <v/>
      </c>
      <c r="Y160" s="14" t="str">
        <f t="shared" si="40"/>
        <v/>
      </c>
      <c r="Z160" s="15" t="str">
        <f t="shared" si="41"/>
        <v/>
      </c>
      <c r="AA160" s="342">
        <f t="shared" si="42"/>
        <v>0</v>
      </c>
      <c r="AB160" s="342">
        <f t="shared" si="42"/>
        <v>0</v>
      </c>
      <c r="AC160" s="342">
        <f t="shared" si="28"/>
        <v>0</v>
      </c>
      <c r="AD160" s="342">
        <f t="shared" si="29"/>
        <v>0</v>
      </c>
    </row>
    <row r="161" spans="1:30" ht="12.75" customHeight="1" x14ac:dyDescent="0.2">
      <c r="A161" s="71">
        <v>143</v>
      </c>
      <c r="B161" s="17"/>
      <c r="C161" s="17"/>
      <c r="D161" s="17"/>
      <c r="E161" s="497"/>
      <c r="F161" s="497"/>
      <c r="G161" s="497"/>
      <c r="H161" s="497"/>
      <c r="I161" s="73"/>
      <c r="J161" s="492"/>
      <c r="K161" s="493" t="str">
        <f>IFERROR(VLOOKUP($R161,FeeLookup!$J$5:$L$33,2,FALSE),"")</f>
        <v/>
      </c>
      <c r="L161" s="493" t="str">
        <f>IFERROR(VLOOKUP($R161,FeeLookup!$J$5:$L$33,3,FALSE),"")</f>
        <v/>
      </c>
      <c r="M161" s="413" t="s">
        <v>65</v>
      </c>
      <c r="N161" s="414">
        <v>143</v>
      </c>
      <c r="O161" s="4"/>
      <c r="P161" s="12" t="str">
        <f t="shared" si="33"/>
        <v>TEF</v>
      </c>
      <c r="Q161" s="12" t="str">
        <f t="shared" si="34"/>
        <v/>
      </c>
      <c r="R161" s="13" t="str">
        <f t="shared" si="35"/>
        <v>_TEF_</v>
      </c>
      <c r="S161" s="13" t="str">
        <f t="shared" si="36"/>
        <v/>
      </c>
      <c r="T161" s="12" t="str">
        <f t="shared" si="37"/>
        <v/>
      </c>
      <c r="U161" s="12" t="str">
        <f t="shared" si="38"/>
        <v/>
      </c>
      <c r="V161" s="12" t="str">
        <f t="shared" si="31"/>
        <v>NO</v>
      </c>
      <c r="W161" s="14" t="str">
        <f t="shared" si="39"/>
        <v/>
      </c>
      <c r="X161" s="14" t="str">
        <f t="shared" si="32"/>
        <v/>
      </c>
      <c r="Y161" s="14" t="str">
        <f t="shared" si="40"/>
        <v/>
      </c>
      <c r="Z161" s="15" t="str">
        <f t="shared" si="41"/>
        <v/>
      </c>
      <c r="AA161" s="342">
        <f t="shared" si="42"/>
        <v>0</v>
      </c>
      <c r="AB161" s="342">
        <f t="shared" si="42"/>
        <v>0</v>
      </c>
      <c r="AC161" s="342">
        <f t="shared" si="28"/>
        <v>0</v>
      </c>
      <c r="AD161" s="342">
        <f t="shared" si="29"/>
        <v>0</v>
      </c>
    </row>
    <row r="162" spans="1:30" ht="12.75" customHeight="1" x14ac:dyDescent="0.2">
      <c r="A162" s="71">
        <v>144</v>
      </c>
      <c r="B162" s="17"/>
      <c r="C162" s="17"/>
      <c r="D162" s="17"/>
      <c r="E162" s="497"/>
      <c r="F162" s="497"/>
      <c r="G162" s="497"/>
      <c r="H162" s="497"/>
      <c r="I162" s="73"/>
      <c r="J162" s="492"/>
      <c r="K162" s="493" t="str">
        <f>IFERROR(VLOOKUP($R162,FeeLookup!$J$5:$L$33,2,FALSE),"")</f>
        <v/>
      </c>
      <c r="L162" s="493" t="str">
        <f>IFERROR(VLOOKUP($R162,FeeLookup!$J$5:$L$33,3,FALSE),"")</f>
        <v/>
      </c>
      <c r="M162" s="413" t="s">
        <v>65</v>
      </c>
      <c r="N162" s="414">
        <v>144</v>
      </c>
      <c r="O162" s="4"/>
      <c r="P162" s="12" t="str">
        <f t="shared" si="33"/>
        <v>TEF</v>
      </c>
      <c r="Q162" s="12" t="str">
        <f t="shared" si="34"/>
        <v/>
      </c>
      <c r="R162" s="13" t="str">
        <f t="shared" si="35"/>
        <v>_TEF_</v>
      </c>
      <c r="S162" s="13" t="str">
        <f t="shared" si="36"/>
        <v/>
      </c>
      <c r="T162" s="12" t="str">
        <f t="shared" si="37"/>
        <v/>
      </c>
      <c r="U162" s="12" t="str">
        <f t="shared" si="38"/>
        <v/>
      </c>
      <c r="V162" s="12" t="str">
        <f t="shared" si="31"/>
        <v>NO</v>
      </c>
      <c r="W162" s="14" t="str">
        <f t="shared" si="39"/>
        <v/>
      </c>
      <c r="X162" s="14" t="str">
        <f t="shared" si="32"/>
        <v/>
      </c>
      <c r="Y162" s="14" t="str">
        <f t="shared" si="40"/>
        <v/>
      </c>
      <c r="Z162" s="15" t="str">
        <f t="shared" si="41"/>
        <v/>
      </c>
      <c r="AA162" s="342">
        <f t="shared" si="42"/>
        <v>0</v>
      </c>
      <c r="AB162" s="342">
        <f t="shared" si="42"/>
        <v>0</v>
      </c>
      <c r="AC162" s="342">
        <f t="shared" si="28"/>
        <v>0</v>
      </c>
      <c r="AD162" s="342">
        <f t="shared" si="29"/>
        <v>0</v>
      </c>
    </row>
    <row r="163" spans="1:30" ht="12.75" customHeight="1" x14ac:dyDescent="0.2">
      <c r="A163" s="71">
        <v>145</v>
      </c>
      <c r="B163" s="17"/>
      <c r="C163" s="17"/>
      <c r="D163" s="17"/>
      <c r="E163" s="497"/>
      <c r="F163" s="497"/>
      <c r="G163" s="497"/>
      <c r="H163" s="497"/>
      <c r="I163" s="73"/>
      <c r="J163" s="492"/>
      <c r="K163" s="493" t="str">
        <f>IFERROR(VLOOKUP($R163,FeeLookup!$J$5:$L$33,2,FALSE),"")</f>
        <v/>
      </c>
      <c r="L163" s="493" t="str">
        <f>IFERROR(VLOOKUP($R163,FeeLookup!$J$5:$L$33,3,FALSE),"")</f>
        <v/>
      </c>
      <c r="M163" s="413" t="s">
        <v>65</v>
      </c>
      <c r="N163" s="414">
        <v>145</v>
      </c>
      <c r="O163" s="4"/>
      <c r="P163" s="12" t="str">
        <f t="shared" si="33"/>
        <v>TEF</v>
      </c>
      <c r="Q163" s="12" t="str">
        <f t="shared" si="34"/>
        <v/>
      </c>
      <c r="R163" s="13" t="str">
        <f t="shared" si="35"/>
        <v>_TEF_</v>
      </c>
      <c r="S163" s="13" t="str">
        <f t="shared" si="36"/>
        <v/>
      </c>
      <c r="T163" s="12" t="str">
        <f t="shared" si="37"/>
        <v/>
      </c>
      <c r="U163" s="12" t="str">
        <f t="shared" si="38"/>
        <v/>
      </c>
      <c r="V163" s="12" t="str">
        <f t="shared" si="31"/>
        <v>NO</v>
      </c>
      <c r="W163" s="14" t="str">
        <f t="shared" si="39"/>
        <v/>
      </c>
      <c r="X163" s="14" t="str">
        <f t="shared" si="32"/>
        <v/>
      </c>
      <c r="Y163" s="14" t="str">
        <f t="shared" si="40"/>
        <v/>
      </c>
      <c r="Z163" s="15" t="str">
        <f t="shared" si="41"/>
        <v/>
      </c>
      <c r="AA163" s="342">
        <f t="shared" si="42"/>
        <v>0</v>
      </c>
      <c r="AB163" s="342">
        <f t="shared" si="42"/>
        <v>0</v>
      </c>
      <c r="AC163" s="342">
        <f t="shared" ref="AC163:AC168" si="43">IF(IF(ISERROR($J163-$K163)=TRUE,0,$J163-$K163)&gt;0,G163,0)</f>
        <v>0</v>
      </c>
      <c r="AD163" s="342">
        <f t="shared" ref="AD163:AD168" si="44">IF(IF(ISERROR($J163-$K163)=TRUE,0,$J163-$K163)&gt;0,H163,0)</f>
        <v>0</v>
      </c>
    </row>
    <row r="164" spans="1:30" ht="12.75" customHeight="1" x14ac:dyDescent="0.2">
      <c r="A164" s="71">
        <v>146</v>
      </c>
      <c r="B164" s="17"/>
      <c r="C164" s="17"/>
      <c r="D164" s="17"/>
      <c r="E164" s="497"/>
      <c r="F164" s="497"/>
      <c r="G164" s="497"/>
      <c r="H164" s="497"/>
      <c r="I164" s="73"/>
      <c r="J164" s="492"/>
      <c r="K164" s="493" t="str">
        <f>IFERROR(VLOOKUP($R164,FeeLookup!$J$5:$L$33,2,FALSE),"")</f>
        <v/>
      </c>
      <c r="L164" s="493" t="str">
        <f>IFERROR(VLOOKUP($R164,FeeLookup!$J$5:$L$33,3,FALSE),"")</f>
        <v/>
      </c>
      <c r="M164" s="413" t="s">
        <v>65</v>
      </c>
      <c r="N164" s="414">
        <v>146</v>
      </c>
      <c r="O164" s="4"/>
      <c r="P164" s="12" t="str">
        <f t="shared" si="33"/>
        <v>TEF</v>
      </c>
      <c r="Q164" s="12" t="str">
        <f t="shared" si="34"/>
        <v/>
      </c>
      <c r="R164" s="13" t="str">
        <f t="shared" si="35"/>
        <v>_TEF_</v>
      </c>
      <c r="S164" s="13" t="str">
        <f t="shared" si="36"/>
        <v/>
      </c>
      <c r="T164" s="12" t="str">
        <f t="shared" si="37"/>
        <v/>
      </c>
      <c r="U164" s="12" t="str">
        <f t="shared" si="38"/>
        <v/>
      </c>
      <c r="V164" s="12" t="str">
        <f t="shared" si="31"/>
        <v>NO</v>
      </c>
      <c r="W164" s="14" t="str">
        <f t="shared" si="39"/>
        <v/>
      </c>
      <c r="X164" s="14" t="str">
        <f t="shared" si="32"/>
        <v/>
      </c>
      <c r="Y164" s="14" t="str">
        <f t="shared" si="40"/>
        <v/>
      </c>
      <c r="Z164" s="15" t="str">
        <f t="shared" si="41"/>
        <v/>
      </c>
      <c r="AA164" s="342">
        <f t="shared" si="42"/>
        <v>0</v>
      </c>
      <c r="AB164" s="342">
        <f t="shared" si="42"/>
        <v>0</v>
      </c>
      <c r="AC164" s="342">
        <f t="shared" si="43"/>
        <v>0</v>
      </c>
      <c r="AD164" s="342">
        <f t="shared" si="44"/>
        <v>0</v>
      </c>
    </row>
    <row r="165" spans="1:30" ht="12.75" customHeight="1" x14ac:dyDescent="0.2">
      <c r="A165" s="71">
        <v>147</v>
      </c>
      <c r="B165" s="17"/>
      <c r="C165" s="17"/>
      <c r="D165" s="17"/>
      <c r="E165" s="497"/>
      <c r="F165" s="497"/>
      <c r="G165" s="497"/>
      <c r="H165" s="497"/>
      <c r="I165" s="73"/>
      <c r="J165" s="492"/>
      <c r="K165" s="493" t="str">
        <f>IFERROR(VLOOKUP($R165,FeeLookup!$J$5:$L$33,2,FALSE),"")</f>
        <v/>
      </c>
      <c r="L165" s="493" t="str">
        <f>IFERROR(VLOOKUP($R165,FeeLookup!$J$5:$L$33,3,FALSE),"")</f>
        <v/>
      </c>
      <c r="M165" s="413" t="s">
        <v>65</v>
      </c>
      <c r="N165" s="414">
        <v>147</v>
      </c>
      <c r="O165" s="4"/>
      <c r="P165" s="12" t="str">
        <f t="shared" si="33"/>
        <v>TEF</v>
      </c>
      <c r="Q165" s="12" t="str">
        <f t="shared" si="34"/>
        <v/>
      </c>
      <c r="R165" s="13" t="str">
        <f t="shared" si="35"/>
        <v>_TEF_</v>
      </c>
      <c r="S165" s="13" t="str">
        <f t="shared" si="36"/>
        <v/>
      </c>
      <c r="T165" s="12" t="str">
        <f t="shared" si="37"/>
        <v/>
      </c>
      <c r="U165" s="12" t="str">
        <f t="shared" si="38"/>
        <v/>
      </c>
      <c r="V165" s="12" t="str">
        <f t="shared" si="31"/>
        <v>NO</v>
      </c>
      <c r="W165" s="14" t="str">
        <f t="shared" si="39"/>
        <v/>
      </c>
      <c r="X165" s="14" t="str">
        <f t="shared" si="32"/>
        <v/>
      </c>
      <c r="Y165" s="14" t="str">
        <f t="shared" si="40"/>
        <v/>
      </c>
      <c r="Z165" s="15" t="str">
        <f t="shared" si="41"/>
        <v/>
      </c>
      <c r="AA165" s="342">
        <f t="shared" si="42"/>
        <v>0</v>
      </c>
      <c r="AB165" s="342">
        <f t="shared" si="42"/>
        <v>0</v>
      </c>
      <c r="AC165" s="342">
        <f t="shared" si="43"/>
        <v>0</v>
      </c>
      <c r="AD165" s="342">
        <f t="shared" si="44"/>
        <v>0</v>
      </c>
    </row>
    <row r="166" spans="1:30" ht="12.75" customHeight="1" x14ac:dyDescent="0.2">
      <c r="A166" s="71">
        <v>148</v>
      </c>
      <c r="B166" s="17"/>
      <c r="C166" s="17"/>
      <c r="D166" s="17"/>
      <c r="E166" s="497"/>
      <c r="F166" s="497"/>
      <c r="G166" s="497"/>
      <c r="H166" s="497"/>
      <c r="I166" s="73"/>
      <c r="J166" s="492"/>
      <c r="K166" s="493" t="str">
        <f>IFERROR(VLOOKUP($R166,FeeLookup!$J$5:$L$33,2,FALSE),"")</f>
        <v/>
      </c>
      <c r="L166" s="493" t="str">
        <f>IFERROR(VLOOKUP($R166,FeeLookup!$J$5:$L$33,3,FALSE),"")</f>
        <v/>
      </c>
      <c r="M166" s="413" t="s">
        <v>65</v>
      </c>
      <c r="N166" s="414">
        <v>148</v>
      </c>
      <c r="O166" s="4"/>
      <c r="P166" s="12" t="str">
        <f t="shared" si="33"/>
        <v>TEF</v>
      </c>
      <c r="Q166" s="12" t="str">
        <f t="shared" si="34"/>
        <v/>
      </c>
      <c r="R166" s="13" t="str">
        <f t="shared" si="35"/>
        <v>_TEF_</v>
      </c>
      <c r="S166" s="13" t="str">
        <f t="shared" si="36"/>
        <v/>
      </c>
      <c r="T166" s="12" t="str">
        <f t="shared" si="37"/>
        <v/>
      </c>
      <c r="U166" s="12" t="str">
        <f t="shared" si="38"/>
        <v/>
      </c>
      <c r="V166" s="12" t="str">
        <f t="shared" si="31"/>
        <v>NO</v>
      </c>
      <c r="W166" s="14" t="str">
        <f t="shared" si="39"/>
        <v/>
      </c>
      <c r="X166" s="14" t="str">
        <f t="shared" si="32"/>
        <v/>
      </c>
      <c r="Y166" s="14" t="str">
        <f t="shared" si="40"/>
        <v/>
      </c>
      <c r="Z166" s="15" t="str">
        <f t="shared" si="41"/>
        <v/>
      </c>
      <c r="AA166" s="342">
        <f t="shared" si="42"/>
        <v>0</v>
      </c>
      <c r="AB166" s="342">
        <f t="shared" si="42"/>
        <v>0</v>
      </c>
      <c r="AC166" s="342">
        <f t="shared" si="43"/>
        <v>0</v>
      </c>
      <c r="AD166" s="342">
        <f t="shared" si="44"/>
        <v>0</v>
      </c>
    </row>
    <row r="167" spans="1:30" ht="12.75" customHeight="1" x14ac:dyDescent="0.2">
      <c r="A167" s="71">
        <v>149</v>
      </c>
      <c r="B167" s="17"/>
      <c r="C167" s="17"/>
      <c r="D167" s="17"/>
      <c r="E167" s="497"/>
      <c r="F167" s="497"/>
      <c r="G167" s="497"/>
      <c r="H167" s="497"/>
      <c r="I167" s="73"/>
      <c r="J167" s="492"/>
      <c r="K167" s="493" t="str">
        <f>IFERROR(VLOOKUP($R167,FeeLookup!$J$5:$L$33,2,FALSE),"")</f>
        <v/>
      </c>
      <c r="L167" s="493" t="str">
        <f>IFERROR(VLOOKUP($R167,FeeLookup!$J$5:$L$33,3,FALSE),"")</f>
        <v/>
      </c>
      <c r="M167" s="413" t="s">
        <v>65</v>
      </c>
      <c r="N167" s="414">
        <v>149</v>
      </c>
      <c r="O167" s="4"/>
      <c r="P167" s="12" t="str">
        <f t="shared" si="33"/>
        <v>TEF</v>
      </c>
      <c r="Q167" s="12" t="str">
        <f t="shared" si="34"/>
        <v/>
      </c>
      <c r="R167" s="13" t="str">
        <f t="shared" si="35"/>
        <v>_TEF_</v>
      </c>
      <c r="S167" s="13" t="str">
        <f t="shared" si="36"/>
        <v/>
      </c>
      <c r="T167" s="12" t="str">
        <f t="shared" si="37"/>
        <v/>
      </c>
      <c r="U167" s="12" t="str">
        <f t="shared" si="38"/>
        <v/>
      </c>
      <c r="V167" s="12" t="str">
        <f t="shared" si="31"/>
        <v>NO</v>
      </c>
      <c r="W167" s="14" t="str">
        <f t="shared" si="39"/>
        <v/>
      </c>
      <c r="X167" s="14" t="str">
        <f t="shared" si="32"/>
        <v/>
      </c>
      <c r="Y167" s="14" t="str">
        <f t="shared" si="40"/>
        <v/>
      </c>
      <c r="Z167" s="15" t="str">
        <f t="shared" si="41"/>
        <v/>
      </c>
      <c r="AA167" s="342">
        <f t="shared" si="42"/>
        <v>0</v>
      </c>
      <c r="AB167" s="342">
        <f t="shared" si="42"/>
        <v>0</v>
      </c>
      <c r="AC167" s="342">
        <f t="shared" si="43"/>
        <v>0</v>
      </c>
      <c r="AD167" s="342">
        <f t="shared" si="44"/>
        <v>0</v>
      </c>
    </row>
    <row r="168" spans="1:30" ht="21" customHeight="1" x14ac:dyDescent="0.2">
      <c r="A168" s="84">
        <v>150</v>
      </c>
      <c r="B168" s="472"/>
      <c r="C168" s="472"/>
      <c r="D168" s="472"/>
      <c r="E168" s="498"/>
      <c r="F168" s="498"/>
      <c r="G168" s="498"/>
      <c r="H168" s="498"/>
      <c r="I168" s="473"/>
      <c r="J168" s="494"/>
      <c r="K168" s="495" t="str">
        <f>IFERROR(VLOOKUP($R168,FeeLookup!$J$5:$L$33,2,FALSE),"")</f>
        <v/>
      </c>
      <c r="L168" s="495" t="str">
        <f>IFERROR(VLOOKUP($R168,FeeLookup!$J$5:$L$33,3,FALSE),"")</f>
        <v/>
      </c>
      <c r="M168" s="413" t="s">
        <v>65</v>
      </c>
      <c r="N168" s="414">
        <v>150</v>
      </c>
      <c r="O168" s="4"/>
      <c r="P168" s="12" t="str">
        <f t="shared" si="33"/>
        <v>TEF</v>
      </c>
      <c r="Q168" s="12" t="str">
        <f t="shared" si="34"/>
        <v/>
      </c>
      <c r="R168" s="13" t="str">
        <f t="shared" si="35"/>
        <v>_TEF_</v>
      </c>
      <c r="S168" s="13" t="str">
        <f t="shared" si="36"/>
        <v/>
      </c>
      <c r="T168" s="12" t="str">
        <f t="shared" si="37"/>
        <v/>
      </c>
      <c r="U168" s="12" t="str">
        <f t="shared" si="38"/>
        <v/>
      </c>
      <c r="V168" s="12" t="str">
        <f t="shared" si="31"/>
        <v>NO</v>
      </c>
      <c r="W168" s="14" t="str">
        <f t="shared" si="39"/>
        <v/>
      </c>
      <c r="X168" s="14" t="str">
        <f t="shared" si="32"/>
        <v/>
      </c>
      <c r="Y168" s="14" t="str">
        <f t="shared" si="40"/>
        <v/>
      </c>
      <c r="Z168" s="15" t="str">
        <f t="shared" si="41"/>
        <v/>
      </c>
      <c r="AA168" s="342">
        <f t="shared" si="42"/>
        <v>0</v>
      </c>
      <c r="AB168" s="342">
        <f t="shared" si="42"/>
        <v>0</v>
      </c>
      <c r="AC168" s="342">
        <f t="shared" si="43"/>
        <v>0</v>
      </c>
      <c r="AD168" s="342">
        <f t="shared" si="44"/>
        <v>0</v>
      </c>
    </row>
    <row r="169" spans="1:30" hidden="1" x14ac:dyDescent="0.2">
      <c r="A169" s="21"/>
      <c r="B169" s="21"/>
      <c r="H169" s="22"/>
      <c r="I169" s="22"/>
    </row>
    <row r="170" spans="1:30" ht="12.75" hidden="1" customHeight="1" x14ac:dyDescent="0.2">
      <c r="A170" s="16">
        <f>'FT Fee'!A24</f>
        <v>3</v>
      </c>
      <c r="B170" s="444" t="str">
        <f>'FT Fee'!B24</f>
        <v>Foundation degree</v>
      </c>
      <c r="C170" s="444"/>
      <c r="D170" s="444">
        <f>'FT Fee'!D24</f>
        <v>73</v>
      </c>
      <c r="E170" s="446">
        <f>'FT Fee'!D22</f>
        <v>35</v>
      </c>
      <c r="F170" s="11">
        <f>'FT Fee'!G22</f>
        <v>75</v>
      </c>
      <c r="G170" s="11" t="str">
        <f>'FT Fee'!H24</f>
        <v>Yes</v>
      </c>
      <c r="H170" s="455">
        <f>'FT Fee'!I24</f>
        <v>7999</v>
      </c>
      <c r="I170" s="445"/>
      <c r="J170" s="455">
        <f>'FT Fee'!I22</f>
        <v>7999</v>
      </c>
      <c r="K170" s="445">
        <f>'FT Fee'!K24</f>
        <v>9250</v>
      </c>
      <c r="L170" s="445" t="str">
        <f>'FT Fee'!L24</f>
        <v>1a</v>
      </c>
      <c r="M170" s="446">
        <f>'FT Fee'!M24</f>
        <v>3</v>
      </c>
      <c r="N170" s="11">
        <f>'FT Fee'!N24</f>
        <v>7999</v>
      </c>
      <c r="O170" s="11" t="str">
        <f>'FT Fee'!O24</f>
        <v>TEF</v>
      </c>
      <c r="P170" s="12" t="str">
        <f>'FT Fee'!O22</f>
        <v>TEF</v>
      </c>
      <c r="Q170" s="12" t="str">
        <f>'FT Fee'!P22</f>
        <v>FULL</v>
      </c>
      <c r="R170" s="13" t="str">
        <f>'FT Fee'!Q22</f>
        <v>FULL_TEF_</v>
      </c>
      <c r="S170" s="13">
        <f>'FT Fee'!R22</f>
        <v>7999</v>
      </c>
      <c r="T170" s="12" t="str">
        <f>'FT Fee'!S22</f>
        <v>YES</v>
      </c>
      <c r="U170" s="12" t="str">
        <f>'FT Fee'!T22</f>
        <v>BBHFC</v>
      </c>
      <c r="V170" s="12" t="str">
        <f>'FT Fee'!U22</f>
        <v>YES</v>
      </c>
      <c r="W170" s="14" t="str">
        <f>'FT Fee'!V22</f>
        <v>YES</v>
      </c>
      <c r="X170" s="14" t="str">
        <f>'FT Fee'!W22</f>
        <v>YES</v>
      </c>
      <c r="Y170" s="14" t="str">
        <f>'FT Fee'!X22</f>
        <v/>
      </c>
      <c r="Z170" s="15">
        <f>'FT Fee'!Y22</f>
        <v>1834</v>
      </c>
    </row>
    <row r="171" spans="1:30" ht="12.75" hidden="1" customHeight="1" x14ac:dyDescent="0.2">
      <c r="A171" s="16">
        <f>'FT Fee'!A25</f>
        <v>4</v>
      </c>
      <c r="B171" s="447" t="str">
        <f>'FT Fee'!B25</f>
        <v>Foundation degree</v>
      </c>
      <c r="C171" s="447"/>
      <c r="D171" s="447">
        <f>'FT Fee'!D25</f>
        <v>103</v>
      </c>
      <c r="E171" s="446">
        <f>'FT Fee'!D23</f>
        <v>48</v>
      </c>
      <c r="F171" s="11">
        <f>'FT Fee'!G23</f>
        <v>60</v>
      </c>
      <c r="G171" s="11" t="str">
        <f>'FT Fee'!H25</f>
        <v>Yes</v>
      </c>
      <c r="H171" s="456">
        <f>'FT Fee'!I25</f>
        <v>6165</v>
      </c>
      <c r="I171" s="448"/>
      <c r="J171" s="455">
        <f>'FT Fee'!I23</f>
        <v>6165</v>
      </c>
      <c r="K171" s="448">
        <f>'FT Fee'!K25</f>
        <v>9250</v>
      </c>
      <c r="L171" s="448" t="str">
        <f>'FT Fee'!L25</f>
        <v>1a</v>
      </c>
      <c r="M171" s="449">
        <f>'FT Fee'!M25</f>
        <v>4</v>
      </c>
      <c r="N171" s="11">
        <f>'FT Fee'!N25</f>
        <v>6165</v>
      </c>
      <c r="O171" s="11" t="str">
        <f>'FT Fee'!O25</f>
        <v>TEF</v>
      </c>
      <c r="P171" s="12" t="str">
        <f>'FT Fee'!O23</f>
        <v>TEF</v>
      </c>
      <c r="Q171" s="12" t="str">
        <f>'FT Fee'!P23</f>
        <v>FULL</v>
      </c>
      <c r="R171" s="13" t="str">
        <f>'FT Fee'!Q23</f>
        <v>FULL_TEF_</v>
      </c>
      <c r="S171" s="13">
        <f>'FT Fee'!R23</f>
        <v>6165</v>
      </c>
      <c r="T171" s="12" t="str">
        <f>'FT Fee'!S23</f>
        <v>NO</v>
      </c>
      <c r="U171" s="12" t="str">
        <f>'FT Fee'!T23</f>
        <v>BBHFC</v>
      </c>
      <c r="V171" s="12" t="str">
        <f>'FT Fee'!U23</f>
        <v>YES</v>
      </c>
      <c r="W171" s="14" t="str">
        <f>'FT Fee'!V23</f>
        <v>YES</v>
      </c>
      <c r="X171" s="14" t="str">
        <f>'FT Fee'!W23</f>
        <v>YES</v>
      </c>
      <c r="Y171" s="14" t="str">
        <f>'FT Fee'!X23</f>
        <v/>
      </c>
      <c r="Z171" s="15">
        <f>'FT Fee'!Y23</f>
        <v>0</v>
      </c>
    </row>
    <row r="172" spans="1:30" ht="12.75" hidden="1" customHeight="1" x14ac:dyDescent="0.2">
      <c r="A172" s="16">
        <f>'FT Fee'!A26</f>
        <v>5</v>
      </c>
      <c r="B172" s="447">
        <f>'FT Fee'!B26</f>
        <v>0</v>
      </c>
      <c r="C172" s="447"/>
      <c r="D172" s="447">
        <f>'FT Fee'!D26</f>
        <v>0</v>
      </c>
      <c r="E172" s="446">
        <f>'FT Fee'!D24</f>
        <v>73</v>
      </c>
      <c r="F172" s="11">
        <f>'FT Fee'!G24</f>
        <v>87</v>
      </c>
      <c r="G172" s="11">
        <f>'FT Fee'!H26</f>
        <v>0</v>
      </c>
      <c r="H172" s="456">
        <f>'FT Fee'!I26</f>
        <v>0</v>
      </c>
      <c r="I172" s="448"/>
      <c r="J172" s="455">
        <f>'FT Fee'!I24</f>
        <v>7999</v>
      </c>
      <c r="K172" s="448" t="str">
        <f>'FT Fee'!K26</f>
        <v/>
      </c>
      <c r="L172" s="448" t="str">
        <f>'FT Fee'!L26</f>
        <v>1a</v>
      </c>
      <c r="M172" s="449">
        <f>'FT Fee'!M26</f>
        <v>5</v>
      </c>
      <c r="N172" s="11">
        <f>'FT Fee'!N26</f>
        <v>0</v>
      </c>
      <c r="O172" s="11" t="str">
        <f>'FT Fee'!O26</f>
        <v>TEF</v>
      </c>
      <c r="P172" s="12" t="str">
        <f>'FT Fee'!O24</f>
        <v>TEF</v>
      </c>
      <c r="Q172" s="12" t="str">
        <f>'FT Fee'!P24</f>
        <v>FULL</v>
      </c>
      <c r="R172" s="13" t="str">
        <f>'FT Fee'!Q24</f>
        <v>FULL_TEF_</v>
      </c>
      <c r="S172" s="13">
        <f>'FT Fee'!R24</f>
        <v>7999</v>
      </c>
      <c r="T172" s="12" t="str">
        <f>'FT Fee'!S24</f>
        <v>YES</v>
      </c>
      <c r="U172" s="12" t="str">
        <f>'FT Fee'!T24</f>
        <v>BBHFC</v>
      </c>
      <c r="V172" s="12" t="str">
        <f>'FT Fee'!U24</f>
        <v>YES</v>
      </c>
      <c r="W172" s="14" t="str">
        <f>'FT Fee'!V24</f>
        <v>YES</v>
      </c>
      <c r="X172" s="14" t="str">
        <f>'FT Fee'!W24</f>
        <v>YES</v>
      </c>
      <c r="Y172" s="14" t="str">
        <f>'FT Fee'!X24</f>
        <v/>
      </c>
      <c r="Z172" s="15">
        <f>'FT Fee'!Y24</f>
        <v>1834</v>
      </c>
    </row>
    <row r="173" spans="1:30" ht="12.75" hidden="1" customHeight="1" x14ac:dyDescent="0.2">
      <c r="A173" s="16">
        <f>'FT Fee'!A27</f>
        <v>6</v>
      </c>
      <c r="B173" s="447">
        <f>'FT Fee'!B27</f>
        <v>0</v>
      </c>
      <c r="C173" s="447"/>
      <c r="D173" s="447">
        <f>'FT Fee'!D27</f>
        <v>0</v>
      </c>
      <c r="E173" s="446">
        <f>'FT Fee'!D25</f>
        <v>103</v>
      </c>
      <c r="F173" s="11">
        <f>'FT Fee'!G25</f>
        <v>138</v>
      </c>
      <c r="G173" s="19">
        <f>'FT Fee'!H27</f>
        <v>0</v>
      </c>
      <c r="H173" s="456">
        <f>'FT Fee'!I27</f>
        <v>0</v>
      </c>
      <c r="I173" s="448"/>
      <c r="J173" s="455">
        <f>'FT Fee'!I25</f>
        <v>6165</v>
      </c>
      <c r="K173" s="448" t="str">
        <f>'FT Fee'!K27</f>
        <v/>
      </c>
      <c r="L173" s="448" t="str">
        <f>'FT Fee'!L27</f>
        <v>1a</v>
      </c>
      <c r="M173" s="449">
        <f>'FT Fee'!M27</f>
        <v>6</v>
      </c>
      <c r="N173" s="19">
        <f>'FT Fee'!N27</f>
        <v>0</v>
      </c>
      <c r="O173" s="19" t="str">
        <f>'FT Fee'!O27</f>
        <v>TEF</v>
      </c>
      <c r="P173" s="12" t="str">
        <f>'FT Fee'!O25</f>
        <v>TEF</v>
      </c>
      <c r="Q173" s="12" t="str">
        <f>'FT Fee'!P25</f>
        <v>FULL</v>
      </c>
      <c r="R173" s="13" t="str">
        <f>'FT Fee'!Q25</f>
        <v>FULL_TEF_</v>
      </c>
      <c r="S173" s="13">
        <f>'FT Fee'!R25</f>
        <v>6165</v>
      </c>
      <c r="T173" s="12" t="str">
        <f>'FT Fee'!S25</f>
        <v>NO</v>
      </c>
      <c r="U173" s="12" t="str">
        <f>'FT Fee'!T25</f>
        <v>BBHFC</v>
      </c>
      <c r="V173" s="12" t="str">
        <f>'FT Fee'!U25</f>
        <v>YES</v>
      </c>
      <c r="W173" s="14" t="str">
        <f>'FT Fee'!V25</f>
        <v>YES</v>
      </c>
      <c r="X173" s="14" t="str">
        <f>'FT Fee'!W25</f>
        <v>YES</v>
      </c>
      <c r="Y173" s="14" t="str">
        <f>'FT Fee'!X25</f>
        <v/>
      </c>
      <c r="Z173" s="15">
        <f>'FT Fee'!Y25</f>
        <v>0</v>
      </c>
    </row>
    <row r="174" spans="1:30" ht="12.75" hidden="1" customHeight="1" x14ac:dyDescent="0.2">
      <c r="A174" s="16">
        <f>'FT Fee'!A28</f>
        <v>7</v>
      </c>
      <c r="B174" s="444">
        <f>'FT Fee'!B28</f>
        <v>0</v>
      </c>
      <c r="C174" s="444"/>
      <c r="D174" s="444">
        <f>'FT Fee'!D28</f>
        <v>0</v>
      </c>
      <c r="E174" s="446">
        <f>'FT Fee'!D26</f>
        <v>0</v>
      </c>
      <c r="F174" s="11">
        <f>'FT Fee'!G26</f>
        <v>0</v>
      </c>
      <c r="G174" s="20">
        <f>'FT Fee'!H28</f>
        <v>0</v>
      </c>
      <c r="H174" s="455">
        <f>'FT Fee'!I28</f>
        <v>0</v>
      </c>
      <c r="I174" s="445"/>
      <c r="J174" s="455">
        <f>'FT Fee'!I26</f>
        <v>0</v>
      </c>
      <c r="K174" s="445" t="str">
        <f>'FT Fee'!K28</f>
        <v/>
      </c>
      <c r="L174" s="445" t="str">
        <f>'FT Fee'!L28</f>
        <v>1a</v>
      </c>
      <c r="M174" s="446">
        <f>'FT Fee'!M28</f>
        <v>7</v>
      </c>
      <c r="N174" s="20">
        <f>'FT Fee'!N28</f>
        <v>0</v>
      </c>
      <c r="O174" s="20" t="str">
        <f>'FT Fee'!O28</f>
        <v>TEF</v>
      </c>
      <c r="P174" s="12" t="str">
        <f>'FT Fee'!O26</f>
        <v>TEF</v>
      </c>
      <c r="Q174" s="12" t="str">
        <f>'FT Fee'!P26</f>
        <v/>
      </c>
      <c r="R174" s="13" t="str">
        <f>'FT Fee'!Q26</f>
        <v>_TEF_</v>
      </c>
      <c r="S174" s="13" t="str">
        <f>'FT Fee'!R26</f>
        <v/>
      </c>
      <c r="T174" s="12" t="str">
        <f>'FT Fee'!S26</f>
        <v/>
      </c>
      <c r="U174" s="12" t="str">
        <f>'FT Fee'!T26</f>
        <v/>
      </c>
      <c r="V174" s="12" t="str">
        <f>'FT Fee'!U26</f>
        <v>NO</v>
      </c>
      <c r="W174" s="14" t="str">
        <f>'FT Fee'!V26</f>
        <v/>
      </c>
      <c r="X174" s="14" t="str">
        <f>'FT Fee'!W26</f>
        <v/>
      </c>
      <c r="Y174" s="14" t="str">
        <f>'FT Fee'!X26</f>
        <v/>
      </c>
      <c r="Z174" s="15" t="str">
        <f>'FT Fee'!Y26</f>
        <v/>
      </c>
    </row>
    <row r="175" spans="1:30" ht="12.75" hidden="1" customHeight="1" x14ac:dyDescent="0.2">
      <c r="A175" s="16">
        <f>'FT Fee'!A29</f>
        <v>8</v>
      </c>
      <c r="B175" s="447">
        <f>'FT Fee'!B29</f>
        <v>0</v>
      </c>
      <c r="C175" s="447"/>
      <c r="D175" s="447">
        <f>'FT Fee'!D29</f>
        <v>0</v>
      </c>
      <c r="E175" s="446">
        <f>'FT Fee'!D27</f>
        <v>0</v>
      </c>
      <c r="F175" s="11">
        <f>'FT Fee'!G27</f>
        <v>0</v>
      </c>
      <c r="G175" s="11">
        <f>'FT Fee'!H29</f>
        <v>0</v>
      </c>
      <c r="H175" s="456">
        <f>'FT Fee'!I29</f>
        <v>0</v>
      </c>
      <c r="I175" s="448"/>
      <c r="J175" s="455">
        <f>'FT Fee'!I27</f>
        <v>0</v>
      </c>
      <c r="K175" s="448" t="str">
        <f>'FT Fee'!K29</f>
        <v/>
      </c>
      <c r="L175" s="448" t="str">
        <f>'FT Fee'!L29</f>
        <v>1a</v>
      </c>
      <c r="M175" s="449">
        <f>'FT Fee'!M29</f>
        <v>8</v>
      </c>
      <c r="N175" s="11">
        <f>'FT Fee'!N29</f>
        <v>0</v>
      </c>
      <c r="O175" s="11" t="str">
        <f>'FT Fee'!O29</f>
        <v>TEF</v>
      </c>
      <c r="P175" s="12" t="str">
        <f>'FT Fee'!O27</f>
        <v>TEF</v>
      </c>
      <c r="Q175" s="12" t="str">
        <f>'FT Fee'!P27</f>
        <v/>
      </c>
      <c r="R175" s="13" t="str">
        <f>'FT Fee'!Q27</f>
        <v>_TEF_</v>
      </c>
      <c r="S175" s="13" t="str">
        <f>'FT Fee'!R27</f>
        <v/>
      </c>
      <c r="T175" s="12" t="str">
        <f>'FT Fee'!S27</f>
        <v/>
      </c>
      <c r="U175" s="12" t="str">
        <f>'FT Fee'!T27</f>
        <v/>
      </c>
      <c r="V175" s="12" t="str">
        <f>'FT Fee'!U27</f>
        <v>NO</v>
      </c>
      <c r="W175" s="14" t="str">
        <f>'FT Fee'!V27</f>
        <v/>
      </c>
      <c r="X175" s="14" t="str">
        <f>'FT Fee'!W27</f>
        <v/>
      </c>
      <c r="Y175" s="14" t="str">
        <f>'FT Fee'!X27</f>
        <v/>
      </c>
      <c r="Z175" s="15" t="str">
        <f>'FT Fee'!Y27</f>
        <v/>
      </c>
    </row>
    <row r="176" spans="1:30" ht="12.75" hidden="1" customHeight="1" x14ac:dyDescent="0.2">
      <c r="A176" s="16">
        <f>'FT Fee'!A30</f>
        <v>9</v>
      </c>
      <c r="B176" s="447">
        <f>'FT Fee'!B30</f>
        <v>0</v>
      </c>
      <c r="C176" s="447"/>
      <c r="D176" s="447">
        <f>'FT Fee'!D30</f>
        <v>0</v>
      </c>
      <c r="E176" s="446">
        <f>'FT Fee'!D28</f>
        <v>0</v>
      </c>
      <c r="F176" s="11">
        <f>'FT Fee'!G28</f>
        <v>0</v>
      </c>
      <c r="G176" s="11">
        <f>'FT Fee'!H30</f>
        <v>0</v>
      </c>
      <c r="H176" s="456">
        <f>'FT Fee'!I30</f>
        <v>0</v>
      </c>
      <c r="I176" s="448"/>
      <c r="J176" s="455">
        <f>'FT Fee'!I28</f>
        <v>0</v>
      </c>
      <c r="K176" s="448" t="str">
        <f>'FT Fee'!K30</f>
        <v/>
      </c>
      <c r="L176" s="448" t="str">
        <f>'FT Fee'!L30</f>
        <v>1a</v>
      </c>
      <c r="M176" s="449">
        <f>'FT Fee'!M30</f>
        <v>9</v>
      </c>
      <c r="N176" s="11">
        <f>'FT Fee'!N30</f>
        <v>0</v>
      </c>
      <c r="O176" s="11" t="str">
        <f>'FT Fee'!O30</f>
        <v>TEF</v>
      </c>
      <c r="P176" s="12" t="str">
        <f>'FT Fee'!O28</f>
        <v>TEF</v>
      </c>
      <c r="Q176" s="12" t="str">
        <f>'FT Fee'!P28</f>
        <v/>
      </c>
      <c r="R176" s="13" t="str">
        <f>'FT Fee'!Q28</f>
        <v>_TEF_</v>
      </c>
      <c r="S176" s="13" t="str">
        <f>'FT Fee'!R28</f>
        <v/>
      </c>
      <c r="T176" s="12" t="str">
        <f>'FT Fee'!S28</f>
        <v/>
      </c>
      <c r="U176" s="12" t="str">
        <f>'FT Fee'!T28</f>
        <v/>
      </c>
      <c r="V176" s="12" t="str">
        <f>'FT Fee'!U28</f>
        <v>NO</v>
      </c>
      <c r="W176" s="14" t="str">
        <f>'FT Fee'!V28</f>
        <v/>
      </c>
      <c r="X176" s="14" t="str">
        <f>'FT Fee'!W28</f>
        <v/>
      </c>
      <c r="Y176" s="14" t="str">
        <f>'FT Fee'!X28</f>
        <v/>
      </c>
      <c r="Z176" s="15" t="str">
        <f>'FT Fee'!Y28</f>
        <v/>
      </c>
    </row>
    <row r="177" spans="1:26" ht="12.75" hidden="1" customHeight="1" x14ac:dyDescent="0.2">
      <c r="A177" s="16">
        <f>'FT Fee'!A31</f>
        <v>10</v>
      </c>
      <c r="B177" s="447">
        <f>'FT Fee'!B31</f>
        <v>0</v>
      </c>
      <c r="C177" s="447"/>
      <c r="D177" s="447">
        <f>'FT Fee'!D31</f>
        <v>0</v>
      </c>
      <c r="E177" s="446">
        <f>'FT Fee'!D29</f>
        <v>0</v>
      </c>
      <c r="F177" s="11">
        <f>'FT Fee'!G29</f>
        <v>0</v>
      </c>
      <c r="G177" s="19">
        <f>'FT Fee'!H31</f>
        <v>0</v>
      </c>
      <c r="H177" s="456">
        <f>'FT Fee'!I31</f>
        <v>0</v>
      </c>
      <c r="I177" s="448"/>
      <c r="J177" s="455">
        <f>'FT Fee'!I29</f>
        <v>0</v>
      </c>
      <c r="K177" s="448" t="str">
        <f>'FT Fee'!K31</f>
        <v/>
      </c>
      <c r="L177" s="448" t="str">
        <f>'FT Fee'!L31</f>
        <v>1a</v>
      </c>
      <c r="M177" s="449">
        <f>'FT Fee'!M31</f>
        <v>10</v>
      </c>
      <c r="N177" s="19">
        <f>'FT Fee'!N31</f>
        <v>0</v>
      </c>
      <c r="O177" s="19" t="str">
        <f>'FT Fee'!O31</f>
        <v>TEF</v>
      </c>
      <c r="P177" s="12" t="str">
        <f>'FT Fee'!O29</f>
        <v>TEF</v>
      </c>
      <c r="Q177" s="12" t="str">
        <f>'FT Fee'!P29</f>
        <v/>
      </c>
      <c r="R177" s="13" t="str">
        <f>'FT Fee'!Q29</f>
        <v>_TEF_</v>
      </c>
      <c r="S177" s="13" t="str">
        <f>'FT Fee'!R29</f>
        <v/>
      </c>
      <c r="T177" s="12" t="str">
        <f>'FT Fee'!S29</f>
        <v/>
      </c>
      <c r="U177" s="12" t="str">
        <f>'FT Fee'!T29</f>
        <v/>
      </c>
      <c r="V177" s="12" t="str">
        <f>'FT Fee'!U29</f>
        <v>NO</v>
      </c>
      <c r="W177" s="14" t="str">
        <f>'FT Fee'!V29</f>
        <v/>
      </c>
      <c r="X177" s="14" t="str">
        <f>'FT Fee'!W29</f>
        <v/>
      </c>
      <c r="Y177" s="14" t="str">
        <f>'FT Fee'!X29</f>
        <v/>
      </c>
      <c r="Z177" s="15" t="str">
        <f>'FT Fee'!Y29</f>
        <v/>
      </c>
    </row>
    <row r="178" spans="1:26" ht="12.75" hidden="1" customHeight="1" x14ac:dyDescent="0.2">
      <c r="A178" s="16">
        <f>'FT Fee'!A32</f>
        <v>11</v>
      </c>
      <c r="B178" s="444">
        <f>'FT Fee'!B32</f>
        <v>0</v>
      </c>
      <c r="C178" s="444"/>
      <c r="D178" s="444">
        <f>'FT Fee'!D32</f>
        <v>0</v>
      </c>
      <c r="E178" s="446">
        <f>'FT Fee'!D30</f>
        <v>0</v>
      </c>
      <c r="F178" s="11">
        <f>'FT Fee'!G30</f>
        <v>0</v>
      </c>
      <c r="G178" s="20">
        <f>'FT Fee'!H32</f>
        <v>0</v>
      </c>
      <c r="H178" s="455">
        <f>'FT Fee'!I32</f>
        <v>0</v>
      </c>
      <c r="I178" s="445"/>
      <c r="J178" s="455">
        <f>'FT Fee'!I30</f>
        <v>0</v>
      </c>
      <c r="K178" s="445" t="str">
        <f>'FT Fee'!K32</f>
        <v/>
      </c>
      <c r="L178" s="445" t="str">
        <f>'FT Fee'!L32</f>
        <v>1a</v>
      </c>
      <c r="M178" s="446">
        <f>'FT Fee'!M32</f>
        <v>11</v>
      </c>
      <c r="N178" s="20">
        <f>'FT Fee'!N32</f>
        <v>0</v>
      </c>
      <c r="O178" s="20" t="str">
        <f>'FT Fee'!O32</f>
        <v>TEF</v>
      </c>
      <c r="P178" s="12" t="str">
        <f>'FT Fee'!O30</f>
        <v>TEF</v>
      </c>
      <c r="Q178" s="12" t="str">
        <f>'FT Fee'!P30</f>
        <v/>
      </c>
      <c r="R178" s="13" t="str">
        <f>'FT Fee'!Q30</f>
        <v>_TEF_</v>
      </c>
      <c r="S178" s="13" t="str">
        <f>'FT Fee'!R30</f>
        <v/>
      </c>
      <c r="T178" s="12" t="str">
        <f>'FT Fee'!S30</f>
        <v/>
      </c>
      <c r="U178" s="12" t="str">
        <f>'FT Fee'!T30</f>
        <v/>
      </c>
      <c r="V178" s="12" t="str">
        <f>'FT Fee'!U30</f>
        <v>NO</v>
      </c>
      <c r="W178" s="14" t="str">
        <f>'FT Fee'!V30</f>
        <v/>
      </c>
      <c r="X178" s="14" t="str">
        <f>'FT Fee'!W30</f>
        <v/>
      </c>
      <c r="Y178" s="14" t="str">
        <f>'FT Fee'!X30</f>
        <v/>
      </c>
      <c r="Z178" s="15" t="str">
        <f>'FT Fee'!Y30</f>
        <v/>
      </c>
    </row>
    <row r="179" spans="1:26" ht="12.75" hidden="1" customHeight="1" x14ac:dyDescent="0.2">
      <c r="A179" s="16">
        <f>'FT Fee'!A33</f>
        <v>12</v>
      </c>
      <c r="B179" s="447">
        <f>'FT Fee'!B33</f>
        <v>0</v>
      </c>
      <c r="C179" s="447"/>
      <c r="D179" s="447">
        <f>'FT Fee'!D33</f>
        <v>0</v>
      </c>
      <c r="E179" s="446">
        <f>'FT Fee'!D31</f>
        <v>0</v>
      </c>
      <c r="F179" s="11">
        <f>'FT Fee'!G31</f>
        <v>0</v>
      </c>
      <c r="G179" s="11">
        <f>'FT Fee'!H33</f>
        <v>0</v>
      </c>
      <c r="H179" s="456">
        <f>'FT Fee'!I33</f>
        <v>0</v>
      </c>
      <c r="I179" s="448"/>
      <c r="J179" s="455">
        <f>'FT Fee'!I31</f>
        <v>0</v>
      </c>
      <c r="K179" s="448" t="str">
        <f>'FT Fee'!K33</f>
        <v/>
      </c>
      <c r="L179" s="448" t="str">
        <f>'FT Fee'!L33</f>
        <v>1a</v>
      </c>
      <c r="M179" s="449">
        <f>'FT Fee'!M33</f>
        <v>12</v>
      </c>
      <c r="N179" s="11">
        <f>'FT Fee'!N33</f>
        <v>0</v>
      </c>
      <c r="O179" s="11" t="str">
        <f>'FT Fee'!O33</f>
        <v>TEF</v>
      </c>
      <c r="P179" s="12" t="str">
        <f>'FT Fee'!O31</f>
        <v>TEF</v>
      </c>
      <c r="Q179" s="12" t="str">
        <f>'FT Fee'!P31</f>
        <v/>
      </c>
      <c r="R179" s="13" t="str">
        <f>'FT Fee'!Q31</f>
        <v>_TEF_</v>
      </c>
      <c r="S179" s="13" t="str">
        <f>'FT Fee'!R31</f>
        <v/>
      </c>
      <c r="T179" s="12" t="str">
        <f>'FT Fee'!S31</f>
        <v/>
      </c>
      <c r="U179" s="12" t="str">
        <f>'FT Fee'!T31</f>
        <v/>
      </c>
      <c r="V179" s="12" t="str">
        <f>'FT Fee'!U31</f>
        <v>NO</v>
      </c>
      <c r="W179" s="14" t="str">
        <f>'FT Fee'!V31</f>
        <v/>
      </c>
      <c r="X179" s="14" t="str">
        <f>'FT Fee'!W31</f>
        <v/>
      </c>
      <c r="Y179" s="14" t="str">
        <f>'FT Fee'!X31</f>
        <v/>
      </c>
      <c r="Z179" s="15" t="str">
        <f>'FT Fee'!Y31</f>
        <v/>
      </c>
    </row>
    <row r="180" spans="1:26" ht="12.75" hidden="1" customHeight="1" x14ac:dyDescent="0.2">
      <c r="A180" s="16">
        <f>'FT Fee'!A34</f>
        <v>13</v>
      </c>
      <c r="B180" s="447">
        <f>'FT Fee'!B34</f>
        <v>0</v>
      </c>
      <c r="C180" s="447"/>
      <c r="D180" s="447">
        <f>'FT Fee'!D34</f>
        <v>0</v>
      </c>
      <c r="E180" s="446">
        <f>'FT Fee'!D32</f>
        <v>0</v>
      </c>
      <c r="F180" s="11">
        <f>'FT Fee'!G32</f>
        <v>0</v>
      </c>
      <c r="G180" s="11">
        <f>'FT Fee'!H34</f>
        <v>0</v>
      </c>
      <c r="H180" s="456">
        <f>'FT Fee'!I34</f>
        <v>0</v>
      </c>
      <c r="I180" s="448"/>
      <c r="J180" s="455">
        <f>'FT Fee'!I32</f>
        <v>0</v>
      </c>
      <c r="K180" s="448" t="str">
        <f>'FT Fee'!K34</f>
        <v/>
      </c>
      <c r="L180" s="448" t="str">
        <f>'FT Fee'!L34</f>
        <v>1a</v>
      </c>
      <c r="M180" s="449">
        <f>'FT Fee'!M34</f>
        <v>13</v>
      </c>
      <c r="N180" s="11">
        <f>'FT Fee'!N34</f>
        <v>0</v>
      </c>
      <c r="O180" s="11" t="str">
        <f>'FT Fee'!O34</f>
        <v>TEF</v>
      </c>
      <c r="P180" s="12" t="str">
        <f>'FT Fee'!O32</f>
        <v>TEF</v>
      </c>
      <c r="Q180" s="12" t="str">
        <f>'FT Fee'!P32</f>
        <v/>
      </c>
      <c r="R180" s="13" t="str">
        <f>'FT Fee'!Q32</f>
        <v>_TEF_</v>
      </c>
      <c r="S180" s="13" t="str">
        <f>'FT Fee'!R32</f>
        <v/>
      </c>
      <c r="T180" s="12" t="str">
        <f>'FT Fee'!S32</f>
        <v/>
      </c>
      <c r="U180" s="12" t="str">
        <f>'FT Fee'!T32</f>
        <v/>
      </c>
      <c r="V180" s="12" t="str">
        <f>'FT Fee'!U32</f>
        <v>NO</v>
      </c>
      <c r="W180" s="14" t="str">
        <f>'FT Fee'!V32</f>
        <v/>
      </c>
      <c r="X180" s="14" t="str">
        <f>'FT Fee'!W32</f>
        <v/>
      </c>
      <c r="Y180" s="14" t="str">
        <f>'FT Fee'!X32</f>
        <v/>
      </c>
      <c r="Z180" s="15" t="str">
        <f>'FT Fee'!Y32</f>
        <v/>
      </c>
    </row>
    <row r="181" spans="1:26" ht="12.75" hidden="1" customHeight="1" x14ac:dyDescent="0.2">
      <c r="A181" s="16">
        <f>'FT Fee'!A35</f>
        <v>14</v>
      </c>
      <c r="B181" s="447">
        <f>'FT Fee'!B35</f>
        <v>0</v>
      </c>
      <c r="C181" s="447"/>
      <c r="D181" s="447">
        <f>'FT Fee'!D35</f>
        <v>0</v>
      </c>
      <c r="E181" s="446">
        <f>'FT Fee'!D33</f>
        <v>0</v>
      </c>
      <c r="F181" s="11">
        <f>'FT Fee'!G33</f>
        <v>0</v>
      </c>
      <c r="G181" s="19">
        <f>'FT Fee'!H35</f>
        <v>0</v>
      </c>
      <c r="H181" s="456">
        <f>'FT Fee'!I35</f>
        <v>0</v>
      </c>
      <c r="I181" s="448"/>
      <c r="J181" s="455">
        <f>'FT Fee'!I33</f>
        <v>0</v>
      </c>
      <c r="K181" s="448" t="str">
        <f>'FT Fee'!K35</f>
        <v/>
      </c>
      <c r="L181" s="448" t="str">
        <f>'FT Fee'!L35</f>
        <v>1a</v>
      </c>
      <c r="M181" s="449">
        <f>'FT Fee'!M35</f>
        <v>14</v>
      </c>
      <c r="N181" s="19">
        <f>'FT Fee'!N35</f>
        <v>0</v>
      </c>
      <c r="O181" s="19" t="str">
        <f>'FT Fee'!O35</f>
        <v>TEF</v>
      </c>
      <c r="P181" s="12" t="str">
        <f>'FT Fee'!O33</f>
        <v>TEF</v>
      </c>
      <c r="Q181" s="12" t="str">
        <f>'FT Fee'!P33</f>
        <v/>
      </c>
      <c r="R181" s="13" t="str">
        <f>'FT Fee'!Q33</f>
        <v>_TEF_</v>
      </c>
      <c r="S181" s="13" t="str">
        <f>'FT Fee'!R33</f>
        <v/>
      </c>
      <c r="T181" s="12" t="str">
        <f>'FT Fee'!S33</f>
        <v/>
      </c>
      <c r="U181" s="12" t="str">
        <f>'FT Fee'!T33</f>
        <v/>
      </c>
      <c r="V181" s="12" t="str">
        <f>'FT Fee'!U33</f>
        <v>NO</v>
      </c>
      <c r="W181" s="14" t="str">
        <f>'FT Fee'!V33</f>
        <v/>
      </c>
      <c r="X181" s="14" t="str">
        <f>'FT Fee'!W33</f>
        <v/>
      </c>
      <c r="Y181" s="14" t="str">
        <f>'FT Fee'!X33</f>
        <v/>
      </c>
      <c r="Z181" s="15" t="str">
        <f>'FT Fee'!Y33</f>
        <v/>
      </c>
    </row>
    <row r="182" spans="1:26" ht="12.75" hidden="1" customHeight="1" x14ac:dyDescent="0.2">
      <c r="A182" s="16">
        <f>'FT Fee'!A36</f>
        <v>15</v>
      </c>
      <c r="B182" s="444">
        <f>'FT Fee'!B36</f>
        <v>0</v>
      </c>
      <c r="C182" s="444"/>
      <c r="D182" s="444">
        <f>'FT Fee'!D36</f>
        <v>0</v>
      </c>
      <c r="E182" s="446">
        <f>'FT Fee'!D34</f>
        <v>0</v>
      </c>
      <c r="F182" s="11">
        <f>'FT Fee'!G34</f>
        <v>0</v>
      </c>
      <c r="G182" s="20">
        <f>'FT Fee'!H36</f>
        <v>0</v>
      </c>
      <c r="H182" s="455">
        <f>'FT Fee'!I36</f>
        <v>0</v>
      </c>
      <c r="I182" s="445"/>
      <c r="J182" s="455">
        <f>'FT Fee'!I34</f>
        <v>0</v>
      </c>
      <c r="K182" s="445" t="str">
        <f>'FT Fee'!K36</f>
        <v/>
      </c>
      <c r="L182" s="445" t="str">
        <f>'FT Fee'!L36</f>
        <v>1a</v>
      </c>
      <c r="M182" s="446">
        <f>'FT Fee'!M36</f>
        <v>15</v>
      </c>
      <c r="N182" s="20">
        <f>'FT Fee'!N36</f>
        <v>0</v>
      </c>
      <c r="O182" s="20" t="str">
        <f>'FT Fee'!O36</f>
        <v>TEF</v>
      </c>
      <c r="P182" s="12" t="str">
        <f>'FT Fee'!O34</f>
        <v>TEF</v>
      </c>
      <c r="Q182" s="12" t="str">
        <f>'FT Fee'!P34</f>
        <v/>
      </c>
      <c r="R182" s="13" t="str">
        <f>'FT Fee'!Q34</f>
        <v>_TEF_</v>
      </c>
      <c r="S182" s="13" t="str">
        <f>'FT Fee'!R34</f>
        <v/>
      </c>
      <c r="T182" s="12" t="str">
        <f>'FT Fee'!S34</f>
        <v/>
      </c>
      <c r="U182" s="12" t="str">
        <f>'FT Fee'!T34</f>
        <v/>
      </c>
      <c r="V182" s="12" t="str">
        <f>'FT Fee'!U34</f>
        <v>NO</v>
      </c>
      <c r="W182" s="14" t="str">
        <f>'FT Fee'!V34</f>
        <v/>
      </c>
      <c r="X182" s="14" t="str">
        <f>'FT Fee'!W34</f>
        <v/>
      </c>
      <c r="Y182" s="14" t="str">
        <f>'FT Fee'!X34</f>
        <v/>
      </c>
      <c r="Z182" s="15" t="str">
        <f>'FT Fee'!Y34</f>
        <v/>
      </c>
    </row>
    <row r="183" spans="1:26" ht="12.75" hidden="1" customHeight="1" x14ac:dyDescent="0.2">
      <c r="A183" s="16">
        <f>'FT Fee'!A37</f>
        <v>16</v>
      </c>
      <c r="B183" s="447">
        <f>'FT Fee'!B37</f>
        <v>0</v>
      </c>
      <c r="C183" s="447"/>
      <c r="D183" s="447">
        <f>'FT Fee'!D37</f>
        <v>0</v>
      </c>
      <c r="E183" s="446">
        <f>'FT Fee'!D35</f>
        <v>0</v>
      </c>
      <c r="F183" s="11">
        <f>'FT Fee'!G35</f>
        <v>0</v>
      </c>
      <c r="G183" s="11">
        <f>'FT Fee'!H37</f>
        <v>0</v>
      </c>
      <c r="H183" s="456">
        <f>'FT Fee'!I37</f>
        <v>0</v>
      </c>
      <c r="I183" s="448"/>
      <c r="J183" s="455">
        <f>'FT Fee'!I35</f>
        <v>0</v>
      </c>
      <c r="K183" s="448" t="str">
        <f>'FT Fee'!K37</f>
        <v/>
      </c>
      <c r="L183" s="448" t="str">
        <f>'FT Fee'!L37</f>
        <v>1a</v>
      </c>
      <c r="M183" s="449">
        <f>'FT Fee'!M37</f>
        <v>16</v>
      </c>
      <c r="N183" s="11">
        <f>'FT Fee'!N37</f>
        <v>0</v>
      </c>
      <c r="O183" s="11" t="str">
        <f>'FT Fee'!O37</f>
        <v>TEF</v>
      </c>
      <c r="P183" s="12" t="str">
        <f>'FT Fee'!O35</f>
        <v>TEF</v>
      </c>
      <c r="Q183" s="12" t="str">
        <f>'FT Fee'!P35</f>
        <v/>
      </c>
      <c r="R183" s="13" t="str">
        <f>'FT Fee'!Q35</f>
        <v>_TEF_</v>
      </c>
      <c r="S183" s="13" t="str">
        <f>'FT Fee'!R35</f>
        <v/>
      </c>
      <c r="T183" s="12" t="str">
        <f>'FT Fee'!S35</f>
        <v/>
      </c>
      <c r="U183" s="12" t="str">
        <f>'FT Fee'!T35</f>
        <v/>
      </c>
      <c r="V183" s="12" t="str">
        <f>'FT Fee'!U35</f>
        <v>NO</v>
      </c>
      <c r="W183" s="14" t="str">
        <f>'FT Fee'!V35</f>
        <v/>
      </c>
      <c r="X183" s="14" t="str">
        <f>'FT Fee'!W35</f>
        <v/>
      </c>
      <c r="Y183" s="14" t="str">
        <f>'FT Fee'!X35</f>
        <v/>
      </c>
      <c r="Z183" s="15" t="str">
        <f>'FT Fee'!Y35</f>
        <v/>
      </c>
    </row>
    <row r="184" spans="1:26" ht="12.75" hidden="1" customHeight="1" x14ac:dyDescent="0.2">
      <c r="A184" s="16">
        <f>'FT Fee'!A38</f>
        <v>17</v>
      </c>
      <c r="B184" s="447">
        <f>'FT Fee'!B38</f>
        <v>0</v>
      </c>
      <c r="C184" s="447"/>
      <c r="D184" s="447">
        <f>'FT Fee'!D38</f>
        <v>0</v>
      </c>
      <c r="E184" s="446">
        <f>'FT Fee'!D36</f>
        <v>0</v>
      </c>
      <c r="F184" s="11">
        <f>'FT Fee'!G36</f>
        <v>0</v>
      </c>
      <c r="G184" s="11">
        <f>'FT Fee'!H38</f>
        <v>0</v>
      </c>
      <c r="H184" s="456">
        <f>'FT Fee'!I38</f>
        <v>0</v>
      </c>
      <c r="I184" s="448"/>
      <c r="J184" s="455">
        <f>'FT Fee'!I36</f>
        <v>0</v>
      </c>
      <c r="K184" s="448" t="str">
        <f>'FT Fee'!K38</f>
        <v/>
      </c>
      <c r="L184" s="448" t="str">
        <f>'FT Fee'!L38</f>
        <v>1a</v>
      </c>
      <c r="M184" s="449">
        <f>'FT Fee'!M38</f>
        <v>17</v>
      </c>
      <c r="N184" s="11">
        <f>'FT Fee'!N38</f>
        <v>0</v>
      </c>
      <c r="O184" s="11" t="str">
        <f>'FT Fee'!O38</f>
        <v>TEF</v>
      </c>
      <c r="P184" s="12" t="str">
        <f>'FT Fee'!O36</f>
        <v>TEF</v>
      </c>
      <c r="Q184" s="12" t="str">
        <f>'FT Fee'!P36</f>
        <v/>
      </c>
      <c r="R184" s="13" t="str">
        <f>'FT Fee'!Q36</f>
        <v>_TEF_</v>
      </c>
      <c r="S184" s="13" t="str">
        <f>'FT Fee'!R36</f>
        <v/>
      </c>
      <c r="T184" s="12" t="str">
        <f>'FT Fee'!S36</f>
        <v/>
      </c>
      <c r="U184" s="12" t="str">
        <f>'FT Fee'!T36</f>
        <v/>
      </c>
      <c r="V184" s="12" t="str">
        <f>'FT Fee'!U36</f>
        <v>NO</v>
      </c>
      <c r="W184" s="14" t="str">
        <f>'FT Fee'!V36</f>
        <v/>
      </c>
      <c r="X184" s="14" t="str">
        <f>'FT Fee'!W36</f>
        <v/>
      </c>
      <c r="Y184" s="14" t="str">
        <f>'FT Fee'!X36</f>
        <v/>
      </c>
      <c r="Z184" s="15" t="str">
        <f>'FT Fee'!Y36</f>
        <v/>
      </c>
    </row>
    <row r="185" spans="1:26" ht="12.75" hidden="1" customHeight="1" x14ac:dyDescent="0.2">
      <c r="A185" s="16">
        <f>'FT Fee'!A39</f>
        <v>18</v>
      </c>
      <c r="B185" s="447">
        <f>'FT Fee'!B39</f>
        <v>0</v>
      </c>
      <c r="C185" s="447"/>
      <c r="D185" s="447">
        <f>'FT Fee'!D39</f>
        <v>0</v>
      </c>
      <c r="E185" s="446">
        <f>'FT Fee'!D37</f>
        <v>0</v>
      </c>
      <c r="F185" s="11">
        <f>'FT Fee'!G37</f>
        <v>0</v>
      </c>
      <c r="G185" s="19">
        <f>'FT Fee'!H39</f>
        <v>0</v>
      </c>
      <c r="H185" s="456">
        <f>'FT Fee'!I39</f>
        <v>0</v>
      </c>
      <c r="I185" s="448"/>
      <c r="J185" s="455">
        <f>'FT Fee'!I37</f>
        <v>0</v>
      </c>
      <c r="K185" s="448" t="str">
        <f>'FT Fee'!K39</f>
        <v/>
      </c>
      <c r="L185" s="448" t="str">
        <f>'FT Fee'!L39</f>
        <v>1a</v>
      </c>
      <c r="M185" s="449">
        <f>'FT Fee'!M39</f>
        <v>18</v>
      </c>
      <c r="N185" s="19">
        <f>'FT Fee'!N39</f>
        <v>0</v>
      </c>
      <c r="O185" s="19" t="str">
        <f>'FT Fee'!O39</f>
        <v>TEF</v>
      </c>
      <c r="P185" s="12" t="str">
        <f>'FT Fee'!O37</f>
        <v>TEF</v>
      </c>
      <c r="Q185" s="12" t="str">
        <f>'FT Fee'!P37</f>
        <v/>
      </c>
      <c r="R185" s="13" t="str">
        <f>'FT Fee'!Q37</f>
        <v>_TEF_</v>
      </c>
      <c r="S185" s="13" t="str">
        <f>'FT Fee'!R37</f>
        <v/>
      </c>
      <c r="T185" s="12" t="str">
        <f>'FT Fee'!S37</f>
        <v/>
      </c>
      <c r="U185" s="12" t="str">
        <f>'FT Fee'!T37</f>
        <v/>
      </c>
      <c r="V185" s="12" t="str">
        <f>'FT Fee'!U37</f>
        <v>NO</v>
      </c>
      <c r="W185" s="14" t="str">
        <f>'FT Fee'!V37</f>
        <v/>
      </c>
      <c r="X185" s="14" t="str">
        <f>'FT Fee'!W37</f>
        <v/>
      </c>
      <c r="Y185" s="14" t="str">
        <f>'FT Fee'!X37</f>
        <v/>
      </c>
      <c r="Z185" s="15" t="str">
        <f>'FT Fee'!Y37</f>
        <v/>
      </c>
    </row>
    <row r="186" spans="1:26" ht="12.75" hidden="1" customHeight="1" x14ac:dyDescent="0.2">
      <c r="A186" s="16">
        <f>'FT Fee'!A40</f>
        <v>19</v>
      </c>
      <c r="B186" s="444">
        <f>'FT Fee'!B40</f>
        <v>0</v>
      </c>
      <c r="C186" s="444"/>
      <c r="D186" s="444">
        <f>'FT Fee'!D40</f>
        <v>0</v>
      </c>
      <c r="E186" s="446">
        <f>'FT Fee'!D38</f>
        <v>0</v>
      </c>
      <c r="F186" s="11">
        <f>'FT Fee'!G38</f>
        <v>0</v>
      </c>
      <c r="G186" s="20">
        <f>'FT Fee'!H40</f>
        <v>0</v>
      </c>
      <c r="H186" s="455">
        <f>'FT Fee'!I40</f>
        <v>0</v>
      </c>
      <c r="I186" s="445"/>
      <c r="J186" s="455">
        <f>'FT Fee'!I38</f>
        <v>0</v>
      </c>
      <c r="K186" s="445" t="str">
        <f>'FT Fee'!K40</f>
        <v/>
      </c>
      <c r="L186" s="445" t="str">
        <f>'FT Fee'!L40</f>
        <v>1a</v>
      </c>
      <c r="M186" s="446">
        <f>'FT Fee'!M40</f>
        <v>19</v>
      </c>
      <c r="N186" s="20">
        <f>'FT Fee'!N40</f>
        <v>0</v>
      </c>
      <c r="O186" s="20" t="str">
        <f>'FT Fee'!O40</f>
        <v>TEF</v>
      </c>
      <c r="P186" s="12" t="str">
        <f>'FT Fee'!O38</f>
        <v>TEF</v>
      </c>
      <c r="Q186" s="12" t="str">
        <f>'FT Fee'!P38</f>
        <v/>
      </c>
      <c r="R186" s="13" t="str">
        <f>'FT Fee'!Q38</f>
        <v>_TEF_</v>
      </c>
      <c r="S186" s="13" t="str">
        <f>'FT Fee'!R38</f>
        <v/>
      </c>
      <c r="T186" s="12" t="str">
        <f>'FT Fee'!S38</f>
        <v/>
      </c>
      <c r="U186" s="12" t="str">
        <f>'FT Fee'!T38</f>
        <v/>
      </c>
      <c r="V186" s="12" t="str">
        <f>'FT Fee'!U38</f>
        <v>NO</v>
      </c>
      <c r="W186" s="14" t="str">
        <f>'FT Fee'!V38</f>
        <v/>
      </c>
      <c r="X186" s="14" t="str">
        <f>'FT Fee'!W38</f>
        <v/>
      </c>
      <c r="Y186" s="14" t="str">
        <f>'FT Fee'!X38</f>
        <v/>
      </c>
      <c r="Z186" s="15" t="str">
        <f>'FT Fee'!Y38</f>
        <v/>
      </c>
    </row>
    <row r="187" spans="1:26" ht="12.75" hidden="1" customHeight="1" x14ac:dyDescent="0.2">
      <c r="A187" s="16">
        <f>'FT Fee'!A41</f>
        <v>20</v>
      </c>
      <c r="B187" s="447">
        <f>'FT Fee'!B41</f>
        <v>0</v>
      </c>
      <c r="C187" s="447"/>
      <c r="D187" s="447">
        <f>'FT Fee'!D41</f>
        <v>0</v>
      </c>
      <c r="E187" s="446">
        <f>'FT Fee'!D39</f>
        <v>0</v>
      </c>
      <c r="F187" s="11">
        <f>'FT Fee'!G39</f>
        <v>0</v>
      </c>
      <c r="G187" s="11">
        <f>'FT Fee'!H41</f>
        <v>0</v>
      </c>
      <c r="H187" s="456">
        <f>'FT Fee'!I41</f>
        <v>0</v>
      </c>
      <c r="I187" s="448"/>
      <c r="J187" s="455">
        <f>'FT Fee'!I39</f>
        <v>0</v>
      </c>
      <c r="K187" s="448" t="str">
        <f>'FT Fee'!K41</f>
        <v/>
      </c>
      <c r="L187" s="448" t="str">
        <f>'FT Fee'!L41</f>
        <v>1a</v>
      </c>
      <c r="M187" s="449">
        <f>'FT Fee'!M41</f>
        <v>20</v>
      </c>
      <c r="N187" s="11">
        <f>'FT Fee'!N41</f>
        <v>0</v>
      </c>
      <c r="O187" s="11" t="str">
        <f>'FT Fee'!O41</f>
        <v>TEF</v>
      </c>
      <c r="P187" s="12" t="str">
        <f>'FT Fee'!O39</f>
        <v>TEF</v>
      </c>
      <c r="Q187" s="12" t="str">
        <f>'FT Fee'!P39</f>
        <v/>
      </c>
      <c r="R187" s="13" t="str">
        <f>'FT Fee'!Q39</f>
        <v>_TEF_</v>
      </c>
      <c r="S187" s="13" t="str">
        <f>'FT Fee'!R39</f>
        <v/>
      </c>
      <c r="T187" s="12" t="str">
        <f>'FT Fee'!S39</f>
        <v/>
      </c>
      <c r="U187" s="12" t="str">
        <f>'FT Fee'!T39</f>
        <v/>
      </c>
      <c r="V187" s="12" t="str">
        <f>'FT Fee'!U39</f>
        <v>NO</v>
      </c>
      <c r="W187" s="14" t="str">
        <f>'FT Fee'!V39</f>
        <v/>
      </c>
      <c r="X187" s="14" t="str">
        <f>'FT Fee'!W39</f>
        <v/>
      </c>
      <c r="Y187" s="14" t="str">
        <f>'FT Fee'!X39</f>
        <v/>
      </c>
      <c r="Z187" s="15" t="str">
        <f>'FT Fee'!Y39</f>
        <v/>
      </c>
    </row>
    <row r="188" spans="1:26" ht="12.75" hidden="1" customHeight="1" x14ac:dyDescent="0.2">
      <c r="A188" s="16">
        <f>'FT Fee'!A42</f>
        <v>21</v>
      </c>
      <c r="B188" s="447">
        <f>'FT Fee'!B42</f>
        <v>0</v>
      </c>
      <c r="C188" s="447"/>
      <c r="D188" s="447">
        <f>'FT Fee'!D42</f>
        <v>0</v>
      </c>
      <c r="E188" s="446">
        <f>'FT Fee'!D40</f>
        <v>0</v>
      </c>
      <c r="F188" s="11">
        <f>'FT Fee'!G40</f>
        <v>0</v>
      </c>
      <c r="G188" s="11">
        <f>'FT Fee'!H42</f>
        <v>0</v>
      </c>
      <c r="H188" s="456">
        <f>'FT Fee'!I42</f>
        <v>0</v>
      </c>
      <c r="I188" s="448"/>
      <c r="J188" s="455">
        <f>'FT Fee'!I40</f>
        <v>0</v>
      </c>
      <c r="K188" s="448" t="str">
        <f>'FT Fee'!K42</f>
        <v/>
      </c>
      <c r="L188" s="448" t="str">
        <f>'FT Fee'!L42</f>
        <v>1a</v>
      </c>
      <c r="M188" s="449">
        <f>'FT Fee'!M42</f>
        <v>21</v>
      </c>
      <c r="N188" s="11">
        <f>'FT Fee'!N42</f>
        <v>0</v>
      </c>
      <c r="O188" s="11" t="str">
        <f>'FT Fee'!O42</f>
        <v>TEF</v>
      </c>
      <c r="P188" s="12" t="str">
        <f>'FT Fee'!O40</f>
        <v>TEF</v>
      </c>
      <c r="Q188" s="12" t="str">
        <f>'FT Fee'!P40</f>
        <v/>
      </c>
      <c r="R188" s="13" t="str">
        <f>'FT Fee'!Q40</f>
        <v>_TEF_</v>
      </c>
      <c r="S188" s="13" t="str">
        <f>'FT Fee'!R40</f>
        <v/>
      </c>
      <c r="T188" s="12" t="str">
        <f>'FT Fee'!S40</f>
        <v/>
      </c>
      <c r="U188" s="12" t="str">
        <f>'FT Fee'!T40</f>
        <v/>
      </c>
      <c r="V188" s="12" t="str">
        <f>'FT Fee'!U40</f>
        <v>NO</v>
      </c>
      <c r="W188" s="14" t="str">
        <f>'FT Fee'!V40</f>
        <v/>
      </c>
      <c r="X188" s="14" t="str">
        <f>'FT Fee'!W40</f>
        <v/>
      </c>
      <c r="Y188" s="14" t="str">
        <f>'FT Fee'!X40</f>
        <v/>
      </c>
      <c r="Z188" s="15" t="str">
        <f>'FT Fee'!Y40</f>
        <v/>
      </c>
    </row>
    <row r="189" spans="1:26" ht="12.75" hidden="1" customHeight="1" x14ac:dyDescent="0.2">
      <c r="A189" s="16">
        <f>'FT Fee'!A43</f>
        <v>22</v>
      </c>
      <c r="B189" s="447">
        <f>'FT Fee'!B43</f>
        <v>0</v>
      </c>
      <c r="C189" s="447"/>
      <c r="D189" s="447">
        <f>'FT Fee'!D43</f>
        <v>0</v>
      </c>
      <c r="E189" s="446">
        <f>'FT Fee'!D41</f>
        <v>0</v>
      </c>
      <c r="F189" s="11">
        <f>'FT Fee'!G41</f>
        <v>0</v>
      </c>
      <c r="G189" s="19">
        <f>'FT Fee'!H43</f>
        <v>0</v>
      </c>
      <c r="H189" s="456">
        <f>'FT Fee'!I43</f>
        <v>0</v>
      </c>
      <c r="I189" s="448"/>
      <c r="J189" s="455">
        <f>'FT Fee'!I41</f>
        <v>0</v>
      </c>
      <c r="K189" s="448" t="str">
        <f>'FT Fee'!K43</f>
        <v/>
      </c>
      <c r="L189" s="448" t="str">
        <f>'FT Fee'!L43</f>
        <v>1a</v>
      </c>
      <c r="M189" s="449">
        <f>'FT Fee'!M43</f>
        <v>22</v>
      </c>
      <c r="N189" s="19">
        <f>'FT Fee'!N43</f>
        <v>0</v>
      </c>
      <c r="O189" s="19" t="str">
        <f>'FT Fee'!O43</f>
        <v>TEF</v>
      </c>
      <c r="P189" s="12" t="str">
        <f>'FT Fee'!O41</f>
        <v>TEF</v>
      </c>
      <c r="Q189" s="12" t="str">
        <f>'FT Fee'!P41</f>
        <v/>
      </c>
      <c r="R189" s="13" t="str">
        <f>'FT Fee'!Q41</f>
        <v>_TEF_</v>
      </c>
      <c r="S189" s="13" t="str">
        <f>'FT Fee'!R41</f>
        <v/>
      </c>
      <c r="T189" s="12" t="str">
        <f>'FT Fee'!S41</f>
        <v/>
      </c>
      <c r="U189" s="12" t="str">
        <f>'FT Fee'!T41</f>
        <v/>
      </c>
      <c r="V189" s="12" t="str">
        <f>'FT Fee'!U41</f>
        <v>NO</v>
      </c>
      <c r="W189" s="14" t="str">
        <f>'FT Fee'!V41</f>
        <v/>
      </c>
      <c r="X189" s="14" t="str">
        <f>'FT Fee'!W41</f>
        <v/>
      </c>
      <c r="Y189" s="14" t="str">
        <f>'FT Fee'!X41</f>
        <v/>
      </c>
      <c r="Z189" s="15" t="str">
        <f>'FT Fee'!Y41</f>
        <v/>
      </c>
    </row>
    <row r="190" spans="1:26" ht="12.75" hidden="1" customHeight="1" x14ac:dyDescent="0.2">
      <c r="A190" s="16">
        <f>'FT Fee'!A44</f>
        <v>23</v>
      </c>
      <c r="B190" s="444">
        <f>'FT Fee'!B44</f>
        <v>0</v>
      </c>
      <c r="C190" s="444"/>
      <c r="D190" s="444">
        <f>'FT Fee'!D44</f>
        <v>0</v>
      </c>
      <c r="E190" s="446">
        <f>'FT Fee'!D42</f>
        <v>0</v>
      </c>
      <c r="F190" s="11">
        <f>'FT Fee'!G42</f>
        <v>0</v>
      </c>
      <c r="G190" s="20">
        <f>'FT Fee'!H44</f>
        <v>0</v>
      </c>
      <c r="H190" s="455">
        <f>'FT Fee'!I44</f>
        <v>0</v>
      </c>
      <c r="I190" s="445"/>
      <c r="J190" s="455">
        <f>'FT Fee'!I42</f>
        <v>0</v>
      </c>
      <c r="K190" s="445" t="str">
        <f>'FT Fee'!K44</f>
        <v/>
      </c>
      <c r="L190" s="445" t="str">
        <f>'FT Fee'!L44</f>
        <v>1a</v>
      </c>
      <c r="M190" s="446">
        <f>'FT Fee'!M44</f>
        <v>23</v>
      </c>
      <c r="N190" s="20">
        <f>'FT Fee'!N44</f>
        <v>0</v>
      </c>
      <c r="O190" s="20" t="str">
        <f>'FT Fee'!O44</f>
        <v>TEF</v>
      </c>
      <c r="P190" s="12" t="str">
        <f>'FT Fee'!O42</f>
        <v>TEF</v>
      </c>
      <c r="Q190" s="12" t="str">
        <f>'FT Fee'!P42</f>
        <v/>
      </c>
      <c r="R190" s="13" t="str">
        <f>'FT Fee'!Q42</f>
        <v>_TEF_</v>
      </c>
      <c r="S190" s="13" t="str">
        <f>'FT Fee'!R42</f>
        <v/>
      </c>
      <c r="T190" s="12" t="str">
        <f>'FT Fee'!S42</f>
        <v/>
      </c>
      <c r="U190" s="12" t="str">
        <f>'FT Fee'!T42</f>
        <v/>
      </c>
      <c r="V190" s="12" t="str">
        <f>'FT Fee'!U42</f>
        <v>NO</v>
      </c>
      <c r="W190" s="14" t="str">
        <f>'FT Fee'!V42</f>
        <v/>
      </c>
      <c r="X190" s="14" t="str">
        <f>'FT Fee'!W42</f>
        <v/>
      </c>
      <c r="Y190" s="14" t="str">
        <f>'FT Fee'!X42</f>
        <v/>
      </c>
      <c r="Z190" s="15" t="str">
        <f>'FT Fee'!Y42</f>
        <v/>
      </c>
    </row>
    <row r="191" spans="1:26" ht="12.75" hidden="1" customHeight="1" x14ac:dyDescent="0.2">
      <c r="A191" s="16">
        <f>'FT Fee'!A45</f>
        <v>24</v>
      </c>
      <c r="B191" s="447">
        <f>'FT Fee'!B45</f>
        <v>0</v>
      </c>
      <c r="C191" s="447"/>
      <c r="D191" s="447">
        <f>'FT Fee'!D45</f>
        <v>0</v>
      </c>
      <c r="E191" s="446">
        <f>'FT Fee'!D43</f>
        <v>0</v>
      </c>
      <c r="F191" s="11">
        <f>'FT Fee'!G43</f>
        <v>0</v>
      </c>
      <c r="G191" s="11">
        <f>'FT Fee'!H45</f>
        <v>0</v>
      </c>
      <c r="H191" s="456">
        <f>'FT Fee'!I45</f>
        <v>0</v>
      </c>
      <c r="I191" s="448"/>
      <c r="J191" s="455">
        <f>'FT Fee'!I43</f>
        <v>0</v>
      </c>
      <c r="K191" s="448" t="str">
        <f>'FT Fee'!K45</f>
        <v/>
      </c>
      <c r="L191" s="448" t="str">
        <f>'FT Fee'!L45</f>
        <v>1a</v>
      </c>
      <c r="M191" s="449">
        <f>'FT Fee'!M45</f>
        <v>24</v>
      </c>
      <c r="N191" s="11">
        <f>'FT Fee'!N45</f>
        <v>0</v>
      </c>
      <c r="O191" s="11" t="str">
        <f>'FT Fee'!O45</f>
        <v>TEF</v>
      </c>
      <c r="P191" s="12" t="str">
        <f>'FT Fee'!O43</f>
        <v>TEF</v>
      </c>
      <c r="Q191" s="12" t="str">
        <f>'FT Fee'!P43</f>
        <v/>
      </c>
      <c r="R191" s="13" t="str">
        <f>'FT Fee'!Q43</f>
        <v>_TEF_</v>
      </c>
      <c r="S191" s="13" t="str">
        <f>'FT Fee'!R43</f>
        <v/>
      </c>
      <c r="T191" s="12" t="str">
        <f>'FT Fee'!S43</f>
        <v/>
      </c>
      <c r="U191" s="12" t="str">
        <f>'FT Fee'!T43</f>
        <v/>
      </c>
      <c r="V191" s="12" t="str">
        <f>'FT Fee'!U43</f>
        <v>NO</v>
      </c>
      <c r="W191" s="14" t="str">
        <f>'FT Fee'!V43</f>
        <v/>
      </c>
      <c r="X191" s="14" t="str">
        <f>'FT Fee'!W43</f>
        <v/>
      </c>
      <c r="Y191" s="14" t="str">
        <f>'FT Fee'!X43</f>
        <v/>
      </c>
      <c r="Z191" s="15" t="str">
        <f>'FT Fee'!Y43</f>
        <v/>
      </c>
    </row>
    <row r="192" spans="1:26" ht="12.75" hidden="1" customHeight="1" x14ac:dyDescent="0.2">
      <c r="A192" s="16">
        <f>'FT Fee'!A46</f>
        <v>25</v>
      </c>
      <c r="B192" s="447">
        <f>'FT Fee'!B46</f>
        <v>0</v>
      </c>
      <c r="C192" s="447"/>
      <c r="D192" s="447">
        <f>'FT Fee'!D46</f>
        <v>0</v>
      </c>
      <c r="E192" s="446">
        <f>'FT Fee'!D44</f>
        <v>0</v>
      </c>
      <c r="F192" s="11">
        <f>'FT Fee'!G44</f>
        <v>0</v>
      </c>
      <c r="G192" s="11">
        <f>'FT Fee'!H46</f>
        <v>0</v>
      </c>
      <c r="H192" s="456">
        <f>'FT Fee'!I46</f>
        <v>0</v>
      </c>
      <c r="I192" s="448"/>
      <c r="J192" s="455">
        <f>'FT Fee'!I44</f>
        <v>0</v>
      </c>
      <c r="K192" s="448" t="str">
        <f>'FT Fee'!K46</f>
        <v/>
      </c>
      <c r="L192" s="448" t="str">
        <f>'FT Fee'!L46</f>
        <v>1a</v>
      </c>
      <c r="M192" s="449">
        <f>'FT Fee'!M46</f>
        <v>25</v>
      </c>
      <c r="N192" s="11">
        <f>'FT Fee'!N46</f>
        <v>0</v>
      </c>
      <c r="O192" s="11" t="str">
        <f>'FT Fee'!O46</f>
        <v>TEF</v>
      </c>
      <c r="P192" s="12" t="str">
        <f>'FT Fee'!O44</f>
        <v>TEF</v>
      </c>
      <c r="Q192" s="12" t="str">
        <f>'FT Fee'!P44</f>
        <v/>
      </c>
      <c r="R192" s="13" t="str">
        <f>'FT Fee'!Q44</f>
        <v>_TEF_</v>
      </c>
      <c r="S192" s="13" t="str">
        <f>'FT Fee'!R44</f>
        <v/>
      </c>
      <c r="T192" s="12" t="str">
        <f>'FT Fee'!S44</f>
        <v/>
      </c>
      <c r="U192" s="12" t="str">
        <f>'FT Fee'!T44</f>
        <v/>
      </c>
      <c r="V192" s="12" t="str">
        <f>'FT Fee'!U44</f>
        <v>NO</v>
      </c>
      <c r="W192" s="14" t="str">
        <f>'FT Fee'!V44</f>
        <v/>
      </c>
      <c r="X192" s="14" t="str">
        <f>'FT Fee'!W44</f>
        <v/>
      </c>
      <c r="Y192" s="14" t="str">
        <f>'FT Fee'!X44</f>
        <v/>
      </c>
      <c r="Z192" s="15" t="str">
        <f>'FT Fee'!Y44</f>
        <v/>
      </c>
    </row>
    <row r="193" spans="1:26" ht="12.75" hidden="1" customHeight="1" x14ac:dyDescent="0.2">
      <c r="A193" s="16">
        <f>'FT Fee'!A47</f>
        <v>26</v>
      </c>
      <c r="B193" s="447">
        <f>'FT Fee'!B47</f>
        <v>0</v>
      </c>
      <c r="C193" s="447"/>
      <c r="D193" s="447">
        <f>'FT Fee'!D47</f>
        <v>0</v>
      </c>
      <c r="E193" s="446">
        <f>'FT Fee'!D45</f>
        <v>0</v>
      </c>
      <c r="F193" s="11">
        <f>'FT Fee'!G45</f>
        <v>0</v>
      </c>
      <c r="G193" s="19">
        <f>'FT Fee'!H47</f>
        <v>0</v>
      </c>
      <c r="H193" s="456">
        <f>'FT Fee'!I47</f>
        <v>0</v>
      </c>
      <c r="I193" s="448"/>
      <c r="J193" s="455">
        <f>'FT Fee'!I45</f>
        <v>0</v>
      </c>
      <c r="K193" s="448" t="str">
        <f>'FT Fee'!K47</f>
        <v/>
      </c>
      <c r="L193" s="448" t="str">
        <f>'FT Fee'!L47</f>
        <v>1a</v>
      </c>
      <c r="M193" s="449">
        <f>'FT Fee'!M47</f>
        <v>26</v>
      </c>
      <c r="N193" s="19">
        <f>'FT Fee'!N47</f>
        <v>0</v>
      </c>
      <c r="O193" s="19" t="str">
        <f>'FT Fee'!O47</f>
        <v>TEF</v>
      </c>
      <c r="P193" s="12" t="str">
        <f>'FT Fee'!O45</f>
        <v>TEF</v>
      </c>
      <c r="Q193" s="12" t="str">
        <f>'FT Fee'!P45</f>
        <v/>
      </c>
      <c r="R193" s="13" t="str">
        <f>'FT Fee'!Q45</f>
        <v>_TEF_</v>
      </c>
      <c r="S193" s="13" t="str">
        <f>'FT Fee'!R45</f>
        <v/>
      </c>
      <c r="T193" s="12" t="str">
        <f>'FT Fee'!S45</f>
        <v/>
      </c>
      <c r="U193" s="12" t="str">
        <f>'FT Fee'!T45</f>
        <v/>
      </c>
      <c r="V193" s="12" t="str">
        <f>'FT Fee'!U45</f>
        <v>NO</v>
      </c>
      <c r="W193" s="14" t="str">
        <f>'FT Fee'!V45</f>
        <v/>
      </c>
      <c r="X193" s="14" t="str">
        <f>'FT Fee'!W45</f>
        <v/>
      </c>
      <c r="Y193" s="14" t="str">
        <f>'FT Fee'!X45</f>
        <v/>
      </c>
      <c r="Z193" s="15" t="str">
        <f>'FT Fee'!Y45</f>
        <v/>
      </c>
    </row>
    <row r="194" spans="1:26" ht="12.75" hidden="1" customHeight="1" x14ac:dyDescent="0.2">
      <c r="A194" s="16">
        <f>'FT Fee'!A48</f>
        <v>27</v>
      </c>
      <c r="B194" s="444">
        <f>'FT Fee'!B48</f>
        <v>0</v>
      </c>
      <c r="C194" s="444"/>
      <c r="D194" s="444">
        <f>'FT Fee'!D48</f>
        <v>0</v>
      </c>
      <c r="E194" s="446">
        <f>'FT Fee'!D46</f>
        <v>0</v>
      </c>
      <c r="F194" s="11">
        <f>'FT Fee'!G46</f>
        <v>0</v>
      </c>
      <c r="G194" s="20">
        <f>'FT Fee'!H48</f>
        <v>0</v>
      </c>
      <c r="H194" s="455">
        <f>'FT Fee'!I48</f>
        <v>0</v>
      </c>
      <c r="I194" s="445"/>
      <c r="J194" s="455">
        <f>'FT Fee'!I46</f>
        <v>0</v>
      </c>
      <c r="K194" s="445" t="str">
        <f>'FT Fee'!K48</f>
        <v/>
      </c>
      <c r="L194" s="445" t="str">
        <f>'FT Fee'!L48</f>
        <v>1a</v>
      </c>
      <c r="M194" s="446">
        <f>'FT Fee'!M48</f>
        <v>27</v>
      </c>
      <c r="N194" s="20">
        <f>'FT Fee'!N48</f>
        <v>0</v>
      </c>
      <c r="O194" s="20" t="str">
        <f>'FT Fee'!O48</f>
        <v>TEF</v>
      </c>
      <c r="P194" s="12" t="str">
        <f>'FT Fee'!O46</f>
        <v>TEF</v>
      </c>
      <c r="Q194" s="12" t="str">
        <f>'FT Fee'!P46</f>
        <v/>
      </c>
      <c r="R194" s="13" t="str">
        <f>'FT Fee'!Q46</f>
        <v>_TEF_</v>
      </c>
      <c r="S194" s="13" t="str">
        <f>'FT Fee'!R46</f>
        <v/>
      </c>
      <c r="T194" s="12" t="str">
        <f>'FT Fee'!S46</f>
        <v/>
      </c>
      <c r="U194" s="12" t="str">
        <f>'FT Fee'!T46</f>
        <v/>
      </c>
      <c r="V194" s="12" t="str">
        <f>'FT Fee'!U46</f>
        <v>NO</v>
      </c>
      <c r="W194" s="14" t="str">
        <f>'FT Fee'!V46</f>
        <v/>
      </c>
      <c r="X194" s="14" t="str">
        <f>'FT Fee'!W46</f>
        <v/>
      </c>
      <c r="Y194" s="14" t="str">
        <f>'FT Fee'!X46</f>
        <v/>
      </c>
      <c r="Z194" s="15" t="str">
        <f>'FT Fee'!Y46</f>
        <v/>
      </c>
    </row>
    <row r="195" spans="1:26" ht="12.75" hidden="1" customHeight="1" x14ac:dyDescent="0.2">
      <c r="A195" s="16">
        <f>'FT Fee'!A49</f>
        <v>28</v>
      </c>
      <c r="B195" s="447">
        <f>'FT Fee'!B49</f>
        <v>0</v>
      </c>
      <c r="C195" s="447"/>
      <c r="D195" s="447">
        <f>'FT Fee'!D49</f>
        <v>0</v>
      </c>
      <c r="E195" s="446">
        <f>'FT Fee'!D47</f>
        <v>0</v>
      </c>
      <c r="F195" s="11">
        <f>'FT Fee'!G47</f>
        <v>0</v>
      </c>
      <c r="G195" s="11">
        <f>'FT Fee'!H49</f>
        <v>0</v>
      </c>
      <c r="H195" s="456">
        <f>'FT Fee'!I49</f>
        <v>0</v>
      </c>
      <c r="I195" s="448"/>
      <c r="J195" s="455">
        <f>'FT Fee'!I47</f>
        <v>0</v>
      </c>
      <c r="K195" s="448" t="str">
        <f>'FT Fee'!K49</f>
        <v/>
      </c>
      <c r="L195" s="448" t="str">
        <f>'FT Fee'!L49</f>
        <v>1a</v>
      </c>
      <c r="M195" s="449">
        <f>'FT Fee'!M49</f>
        <v>28</v>
      </c>
      <c r="N195" s="11">
        <f>'FT Fee'!N49</f>
        <v>0</v>
      </c>
      <c r="O195" s="11" t="str">
        <f>'FT Fee'!O49</f>
        <v>TEF</v>
      </c>
      <c r="P195" s="12" t="str">
        <f>'FT Fee'!O47</f>
        <v>TEF</v>
      </c>
      <c r="Q195" s="12" t="str">
        <f>'FT Fee'!P47</f>
        <v/>
      </c>
      <c r="R195" s="13" t="str">
        <f>'FT Fee'!Q47</f>
        <v>_TEF_</v>
      </c>
      <c r="S195" s="13" t="str">
        <f>'FT Fee'!R47</f>
        <v/>
      </c>
      <c r="T195" s="12" t="str">
        <f>'FT Fee'!S47</f>
        <v/>
      </c>
      <c r="U195" s="12" t="str">
        <f>'FT Fee'!T47</f>
        <v/>
      </c>
      <c r="V195" s="12" t="str">
        <f>'FT Fee'!U47</f>
        <v>NO</v>
      </c>
      <c r="W195" s="14" t="str">
        <f>'FT Fee'!V47</f>
        <v/>
      </c>
      <c r="X195" s="14" t="str">
        <f>'FT Fee'!W47</f>
        <v/>
      </c>
      <c r="Y195" s="14" t="str">
        <f>'FT Fee'!X47</f>
        <v/>
      </c>
      <c r="Z195" s="15" t="str">
        <f>'FT Fee'!Y47</f>
        <v/>
      </c>
    </row>
    <row r="196" spans="1:26" ht="12.75" hidden="1" customHeight="1" x14ac:dyDescent="0.2">
      <c r="A196" s="16">
        <f>'FT Fee'!A50</f>
        <v>29</v>
      </c>
      <c r="B196" s="447">
        <f>'FT Fee'!B50</f>
        <v>0</v>
      </c>
      <c r="C196" s="447"/>
      <c r="D196" s="447">
        <f>'FT Fee'!D50</f>
        <v>0</v>
      </c>
      <c r="E196" s="446">
        <f>'FT Fee'!D48</f>
        <v>0</v>
      </c>
      <c r="F196" s="11">
        <f>'FT Fee'!G48</f>
        <v>0</v>
      </c>
      <c r="G196" s="11">
        <f>'FT Fee'!H50</f>
        <v>0</v>
      </c>
      <c r="H196" s="456">
        <f>'FT Fee'!I50</f>
        <v>0</v>
      </c>
      <c r="I196" s="448"/>
      <c r="J196" s="455">
        <f>'FT Fee'!I48</f>
        <v>0</v>
      </c>
      <c r="K196" s="448" t="str">
        <f>'FT Fee'!K50</f>
        <v/>
      </c>
      <c r="L196" s="448" t="str">
        <f>'FT Fee'!L50</f>
        <v>1a</v>
      </c>
      <c r="M196" s="449">
        <f>'FT Fee'!M50</f>
        <v>29</v>
      </c>
      <c r="N196" s="11">
        <f>'FT Fee'!N50</f>
        <v>0</v>
      </c>
      <c r="O196" s="11" t="str">
        <f>'FT Fee'!O50</f>
        <v>TEF</v>
      </c>
      <c r="P196" s="12" t="str">
        <f>'FT Fee'!O48</f>
        <v>TEF</v>
      </c>
      <c r="Q196" s="12" t="str">
        <f>'FT Fee'!P48</f>
        <v/>
      </c>
      <c r="R196" s="13" t="str">
        <f>'FT Fee'!Q48</f>
        <v>_TEF_</v>
      </c>
      <c r="S196" s="13" t="str">
        <f>'FT Fee'!R48</f>
        <v/>
      </c>
      <c r="T196" s="12" t="str">
        <f>'FT Fee'!S48</f>
        <v/>
      </c>
      <c r="U196" s="12" t="str">
        <f>'FT Fee'!T48</f>
        <v/>
      </c>
      <c r="V196" s="12" t="str">
        <f>'FT Fee'!U48</f>
        <v>NO</v>
      </c>
      <c r="W196" s="14" t="str">
        <f>'FT Fee'!V48</f>
        <v/>
      </c>
      <c r="X196" s="14" t="str">
        <f>'FT Fee'!W48</f>
        <v/>
      </c>
      <c r="Y196" s="14" t="str">
        <f>'FT Fee'!X48</f>
        <v/>
      </c>
      <c r="Z196" s="15" t="str">
        <f>'FT Fee'!Y48</f>
        <v/>
      </c>
    </row>
    <row r="197" spans="1:26" ht="12.75" hidden="1" customHeight="1" x14ac:dyDescent="0.2">
      <c r="A197" s="16">
        <f>'FT Fee'!A51</f>
        <v>30</v>
      </c>
      <c r="B197" s="447">
        <f>'FT Fee'!B51</f>
        <v>0</v>
      </c>
      <c r="C197" s="447"/>
      <c r="D197" s="447">
        <f>'FT Fee'!D51</f>
        <v>0</v>
      </c>
      <c r="E197" s="446">
        <f>'FT Fee'!D49</f>
        <v>0</v>
      </c>
      <c r="F197" s="11">
        <f>'FT Fee'!G49</f>
        <v>0</v>
      </c>
      <c r="G197" s="19">
        <f>'FT Fee'!H51</f>
        <v>0</v>
      </c>
      <c r="H197" s="456">
        <f>'FT Fee'!I51</f>
        <v>0</v>
      </c>
      <c r="I197" s="448"/>
      <c r="J197" s="455">
        <f>'FT Fee'!I49</f>
        <v>0</v>
      </c>
      <c r="K197" s="448" t="str">
        <f>'FT Fee'!K51</f>
        <v/>
      </c>
      <c r="L197" s="448" t="str">
        <f>'FT Fee'!L51</f>
        <v>1a</v>
      </c>
      <c r="M197" s="449">
        <f>'FT Fee'!M51</f>
        <v>30</v>
      </c>
      <c r="N197" s="19">
        <f>'FT Fee'!N51</f>
        <v>0</v>
      </c>
      <c r="O197" s="19" t="str">
        <f>'FT Fee'!O51</f>
        <v>TEF</v>
      </c>
      <c r="P197" s="12" t="str">
        <f>'FT Fee'!O49</f>
        <v>TEF</v>
      </c>
      <c r="Q197" s="12" t="str">
        <f>'FT Fee'!P49</f>
        <v/>
      </c>
      <c r="R197" s="13" t="str">
        <f>'FT Fee'!Q49</f>
        <v>_TEF_</v>
      </c>
      <c r="S197" s="13" t="str">
        <f>'FT Fee'!R49</f>
        <v/>
      </c>
      <c r="T197" s="12" t="str">
        <f>'FT Fee'!S49</f>
        <v/>
      </c>
      <c r="U197" s="12" t="str">
        <f>'FT Fee'!T49</f>
        <v/>
      </c>
      <c r="V197" s="12" t="str">
        <f>'FT Fee'!U49</f>
        <v>NO</v>
      </c>
      <c r="W197" s="14" t="str">
        <f>'FT Fee'!V49</f>
        <v/>
      </c>
      <c r="X197" s="14" t="str">
        <f>'FT Fee'!W49</f>
        <v/>
      </c>
      <c r="Y197" s="14" t="str">
        <f>'FT Fee'!X49</f>
        <v/>
      </c>
      <c r="Z197" s="15" t="str">
        <f>'FT Fee'!Y49</f>
        <v/>
      </c>
    </row>
    <row r="198" spans="1:26" ht="12.75" hidden="1" customHeight="1" x14ac:dyDescent="0.2">
      <c r="A198" s="16">
        <f>'FT Fee'!A52</f>
        <v>31</v>
      </c>
      <c r="B198" s="444">
        <f>'FT Fee'!B52</f>
        <v>0</v>
      </c>
      <c r="C198" s="444"/>
      <c r="D198" s="444">
        <f>'FT Fee'!D52</f>
        <v>0</v>
      </c>
      <c r="E198" s="446">
        <f>'FT Fee'!D50</f>
        <v>0</v>
      </c>
      <c r="F198" s="11">
        <f>'FT Fee'!G50</f>
        <v>0</v>
      </c>
      <c r="G198" s="20">
        <f>'FT Fee'!H52</f>
        <v>0</v>
      </c>
      <c r="H198" s="455">
        <f>'FT Fee'!I52</f>
        <v>0</v>
      </c>
      <c r="I198" s="445"/>
      <c r="J198" s="455">
        <f>'FT Fee'!I50</f>
        <v>0</v>
      </c>
      <c r="K198" s="445" t="str">
        <f>'FT Fee'!K52</f>
        <v/>
      </c>
      <c r="L198" s="445" t="str">
        <f>'FT Fee'!L52</f>
        <v>1a</v>
      </c>
      <c r="M198" s="446">
        <f>'FT Fee'!M52</f>
        <v>31</v>
      </c>
      <c r="N198" s="20">
        <f>'FT Fee'!N52</f>
        <v>0</v>
      </c>
      <c r="O198" s="20" t="str">
        <f>'FT Fee'!O52</f>
        <v>TEF</v>
      </c>
      <c r="P198" s="12" t="str">
        <f>'FT Fee'!O50</f>
        <v>TEF</v>
      </c>
      <c r="Q198" s="12" t="str">
        <f>'FT Fee'!P50</f>
        <v/>
      </c>
      <c r="R198" s="13" t="str">
        <f>'FT Fee'!Q50</f>
        <v>_TEF_</v>
      </c>
      <c r="S198" s="13" t="str">
        <f>'FT Fee'!R50</f>
        <v/>
      </c>
      <c r="T198" s="12" t="str">
        <f>'FT Fee'!S50</f>
        <v/>
      </c>
      <c r="U198" s="12" t="str">
        <f>'FT Fee'!T50</f>
        <v/>
      </c>
      <c r="V198" s="12" t="str">
        <f>'FT Fee'!U50</f>
        <v>NO</v>
      </c>
      <c r="W198" s="14" t="str">
        <f>'FT Fee'!V50</f>
        <v/>
      </c>
      <c r="X198" s="14" t="str">
        <f>'FT Fee'!W50</f>
        <v/>
      </c>
      <c r="Y198" s="14" t="str">
        <f>'FT Fee'!X50</f>
        <v/>
      </c>
      <c r="Z198" s="15" t="str">
        <f>'FT Fee'!Y50</f>
        <v/>
      </c>
    </row>
    <row r="199" spans="1:26" ht="12.75" hidden="1" customHeight="1" x14ac:dyDescent="0.2">
      <c r="A199" s="16">
        <f>'FT Fee'!A53</f>
        <v>32</v>
      </c>
      <c r="B199" s="447">
        <f>'FT Fee'!B53</f>
        <v>0</v>
      </c>
      <c r="C199" s="447"/>
      <c r="D199" s="447">
        <f>'FT Fee'!D53</f>
        <v>0</v>
      </c>
      <c r="E199" s="446">
        <f>'FT Fee'!D51</f>
        <v>0</v>
      </c>
      <c r="F199" s="11">
        <f>'FT Fee'!G51</f>
        <v>0</v>
      </c>
      <c r="G199" s="11">
        <f>'FT Fee'!H53</f>
        <v>0</v>
      </c>
      <c r="H199" s="456">
        <f>'FT Fee'!I53</f>
        <v>0</v>
      </c>
      <c r="I199" s="448"/>
      <c r="J199" s="455">
        <f>'FT Fee'!I51</f>
        <v>0</v>
      </c>
      <c r="K199" s="448" t="str">
        <f>'FT Fee'!K53</f>
        <v/>
      </c>
      <c r="L199" s="448" t="str">
        <f>'FT Fee'!L53</f>
        <v>1a</v>
      </c>
      <c r="M199" s="449">
        <f>'FT Fee'!M53</f>
        <v>32</v>
      </c>
      <c r="N199" s="11">
        <f>'FT Fee'!N53</f>
        <v>0</v>
      </c>
      <c r="O199" s="11" t="str">
        <f>'FT Fee'!O53</f>
        <v>TEF</v>
      </c>
      <c r="P199" s="12" t="str">
        <f>'FT Fee'!O51</f>
        <v>TEF</v>
      </c>
      <c r="Q199" s="12" t="str">
        <f>'FT Fee'!P51</f>
        <v/>
      </c>
      <c r="R199" s="13" t="str">
        <f>'FT Fee'!Q51</f>
        <v>_TEF_</v>
      </c>
      <c r="S199" s="13" t="str">
        <f>'FT Fee'!R51</f>
        <v/>
      </c>
      <c r="T199" s="12" t="str">
        <f>'FT Fee'!S51</f>
        <v/>
      </c>
      <c r="U199" s="12" t="str">
        <f>'FT Fee'!T51</f>
        <v/>
      </c>
      <c r="V199" s="12" t="str">
        <f>'FT Fee'!U51</f>
        <v>NO</v>
      </c>
      <c r="W199" s="14" t="str">
        <f>'FT Fee'!V51</f>
        <v/>
      </c>
      <c r="X199" s="14" t="str">
        <f>'FT Fee'!W51</f>
        <v/>
      </c>
      <c r="Y199" s="14" t="str">
        <f>'FT Fee'!X51</f>
        <v/>
      </c>
      <c r="Z199" s="15" t="str">
        <f>'FT Fee'!Y51</f>
        <v/>
      </c>
    </row>
    <row r="200" spans="1:26" ht="12.75" hidden="1" customHeight="1" x14ac:dyDescent="0.2">
      <c r="A200" s="16">
        <f>'FT Fee'!A54</f>
        <v>33</v>
      </c>
      <c r="B200" s="447">
        <f>'FT Fee'!B54</f>
        <v>0</v>
      </c>
      <c r="C200" s="447"/>
      <c r="D200" s="447">
        <f>'FT Fee'!D54</f>
        <v>0</v>
      </c>
      <c r="E200" s="446">
        <f>'FT Fee'!D52</f>
        <v>0</v>
      </c>
      <c r="F200" s="11">
        <f>'FT Fee'!G52</f>
        <v>0</v>
      </c>
      <c r="G200" s="11">
        <f>'FT Fee'!H54</f>
        <v>0</v>
      </c>
      <c r="H200" s="456">
        <f>'FT Fee'!I54</f>
        <v>0</v>
      </c>
      <c r="I200" s="448"/>
      <c r="J200" s="455">
        <f>'FT Fee'!I52</f>
        <v>0</v>
      </c>
      <c r="K200" s="448" t="str">
        <f>'FT Fee'!K54</f>
        <v/>
      </c>
      <c r="L200" s="448" t="str">
        <f>'FT Fee'!L54</f>
        <v>1a</v>
      </c>
      <c r="M200" s="449">
        <f>'FT Fee'!M54</f>
        <v>33</v>
      </c>
      <c r="N200" s="11">
        <f>'FT Fee'!N54</f>
        <v>0</v>
      </c>
      <c r="O200" s="11" t="str">
        <f>'FT Fee'!O54</f>
        <v>TEF</v>
      </c>
      <c r="P200" s="12" t="str">
        <f>'FT Fee'!O52</f>
        <v>TEF</v>
      </c>
      <c r="Q200" s="12" t="str">
        <f>'FT Fee'!P52</f>
        <v/>
      </c>
      <c r="R200" s="13" t="str">
        <f>'FT Fee'!Q52</f>
        <v>_TEF_</v>
      </c>
      <c r="S200" s="13" t="str">
        <f>'FT Fee'!R52</f>
        <v/>
      </c>
      <c r="T200" s="12" t="str">
        <f>'FT Fee'!S52</f>
        <v/>
      </c>
      <c r="U200" s="12" t="str">
        <f>'FT Fee'!T52</f>
        <v/>
      </c>
      <c r="V200" s="12" t="str">
        <f>'FT Fee'!U52</f>
        <v>NO</v>
      </c>
      <c r="W200" s="14" t="str">
        <f>'FT Fee'!V52</f>
        <v/>
      </c>
      <c r="X200" s="14" t="str">
        <f>'FT Fee'!W52</f>
        <v/>
      </c>
      <c r="Y200" s="14" t="str">
        <f>'FT Fee'!X52</f>
        <v/>
      </c>
      <c r="Z200" s="15" t="str">
        <f>'FT Fee'!Y52</f>
        <v/>
      </c>
    </row>
    <row r="201" spans="1:26" ht="12.75" hidden="1" customHeight="1" x14ac:dyDescent="0.2">
      <c r="A201" s="16">
        <f>'FT Fee'!A55</f>
        <v>34</v>
      </c>
      <c r="B201" s="447">
        <f>'FT Fee'!B55</f>
        <v>0</v>
      </c>
      <c r="C201" s="447"/>
      <c r="D201" s="447">
        <f>'FT Fee'!D55</f>
        <v>0</v>
      </c>
      <c r="E201" s="446">
        <f>'FT Fee'!D53</f>
        <v>0</v>
      </c>
      <c r="F201" s="11">
        <f>'FT Fee'!G53</f>
        <v>0</v>
      </c>
      <c r="G201" s="19">
        <f>'FT Fee'!H55</f>
        <v>0</v>
      </c>
      <c r="H201" s="456">
        <f>'FT Fee'!I55</f>
        <v>0</v>
      </c>
      <c r="I201" s="448"/>
      <c r="J201" s="455">
        <f>'FT Fee'!I53</f>
        <v>0</v>
      </c>
      <c r="K201" s="448" t="str">
        <f>'FT Fee'!K55</f>
        <v/>
      </c>
      <c r="L201" s="448" t="str">
        <f>'FT Fee'!L55</f>
        <v>1a</v>
      </c>
      <c r="M201" s="449">
        <f>'FT Fee'!M55</f>
        <v>34</v>
      </c>
      <c r="N201" s="19">
        <f>'FT Fee'!N55</f>
        <v>0</v>
      </c>
      <c r="O201" s="19" t="str">
        <f>'FT Fee'!O55</f>
        <v>TEF</v>
      </c>
      <c r="P201" s="12" t="str">
        <f>'FT Fee'!O53</f>
        <v>TEF</v>
      </c>
      <c r="Q201" s="12" t="str">
        <f>'FT Fee'!P53</f>
        <v/>
      </c>
      <c r="R201" s="13" t="str">
        <f>'FT Fee'!Q53</f>
        <v>_TEF_</v>
      </c>
      <c r="S201" s="13" t="str">
        <f>'FT Fee'!R53</f>
        <v/>
      </c>
      <c r="T201" s="12" t="str">
        <f>'FT Fee'!S53</f>
        <v/>
      </c>
      <c r="U201" s="12" t="str">
        <f>'FT Fee'!T53</f>
        <v/>
      </c>
      <c r="V201" s="12" t="str">
        <f>'FT Fee'!U53</f>
        <v>NO</v>
      </c>
      <c r="W201" s="14" t="str">
        <f>'FT Fee'!V53</f>
        <v/>
      </c>
      <c r="X201" s="14" t="str">
        <f>'FT Fee'!W53</f>
        <v/>
      </c>
      <c r="Y201" s="14" t="str">
        <f>'FT Fee'!X53</f>
        <v/>
      </c>
      <c r="Z201" s="15" t="str">
        <f>'FT Fee'!Y53</f>
        <v/>
      </c>
    </row>
    <row r="202" spans="1:26" ht="12.75" hidden="1" customHeight="1" x14ac:dyDescent="0.2">
      <c r="A202" s="16">
        <f>'FT Fee'!A56</f>
        <v>35</v>
      </c>
      <c r="B202" s="444">
        <f>'FT Fee'!B56</f>
        <v>0</v>
      </c>
      <c r="C202" s="444"/>
      <c r="D202" s="444">
        <f>'FT Fee'!D56</f>
        <v>0</v>
      </c>
      <c r="E202" s="446">
        <f>'FT Fee'!D54</f>
        <v>0</v>
      </c>
      <c r="F202" s="11">
        <f>'FT Fee'!G54</f>
        <v>0</v>
      </c>
      <c r="G202" s="20">
        <f>'FT Fee'!H56</f>
        <v>0</v>
      </c>
      <c r="H202" s="455">
        <f>'FT Fee'!I56</f>
        <v>0</v>
      </c>
      <c r="I202" s="445"/>
      <c r="J202" s="455">
        <f>'FT Fee'!I54</f>
        <v>0</v>
      </c>
      <c r="K202" s="445" t="str">
        <f>'FT Fee'!K56</f>
        <v/>
      </c>
      <c r="L202" s="445" t="str">
        <f>'FT Fee'!L56</f>
        <v>1a</v>
      </c>
      <c r="M202" s="446">
        <f>'FT Fee'!M56</f>
        <v>35</v>
      </c>
      <c r="N202" s="20">
        <f>'FT Fee'!N56</f>
        <v>0</v>
      </c>
      <c r="O202" s="20" t="str">
        <f>'FT Fee'!O56</f>
        <v>TEF</v>
      </c>
      <c r="P202" s="12" t="str">
        <f>'FT Fee'!O54</f>
        <v>TEF</v>
      </c>
      <c r="Q202" s="12" t="str">
        <f>'FT Fee'!P54</f>
        <v/>
      </c>
      <c r="R202" s="13" t="str">
        <f>'FT Fee'!Q54</f>
        <v>_TEF_</v>
      </c>
      <c r="S202" s="13" t="str">
        <f>'FT Fee'!R54</f>
        <v/>
      </c>
      <c r="T202" s="12" t="str">
        <f>'FT Fee'!S54</f>
        <v/>
      </c>
      <c r="U202" s="12" t="str">
        <f>'FT Fee'!T54</f>
        <v/>
      </c>
      <c r="V202" s="12" t="str">
        <f>'FT Fee'!U54</f>
        <v>NO</v>
      </c>
      <c r="W202" s="14" t="str">
        <f>'FT Fee'!V54</f>
        <v/>
      </c>
      <c r="X202" s="14" t="str">
        <f>'FT Fee'!W54</f>
        <v/>
      </c>
      <c r="Y202" s="14" t="str">
        <f>'FT Fee'!X54</f>
        <v/>
      </c>
      <c r="Z202" s="15" t="str">
        <f>'FT Fee'!Y54</f>
        <v/>
      </c>
    </row>
    <row r="203" spans="1:26" ht="12.75" hidden="1" customHeight="1" x14ac:dyDescent="0.2">
      <c r="A203" s="16">
        <f>'FT Fee'!A57</f>
        <v>36</v>
      </c>
      <c r="B203" s="447">
        <f>'FT Fee'!B57</f>
        <v>0</v>
      </c>
      <c r="C203" s="447"/>
      <c r="D203" s="447">
        <f>'FT Fee'!D57</f>
        <v>0</v>
      </c>
      <c r="E203" s="446">
        <f>'FT Fee'!D55</f>
        <v>0</v>
      </c>
      <c r="F203" s="11">
        <f>'FT Fee'!G55</f>
        <v>0</v>
      </c>
      <c r="G203" s="11">
        <f>'FT Fee'!H57</f>
        <v>0</v>
      </c>
      <c r="H203" s="456">
        <f>'FT Fee'!I57</f>
        <v>0</v>
      </c>
      <c r="I203" s="448"/>
      <c r="J203" s="455">
        <f>'FT Fee'!I55</f>
        <v>0</v>
      </c>
      <c r="K203" s="448" t="str">
        <f>'FT Fee'!K57</f>
        <v/>
      </c>
      <c r="L203" s="448" t="str">
        <f>'FT Fee'!L57</f>
        <v>1a</v>
      </c>
      <c r="M203" s="449">
        <f>'FT Fee'!M57</f>
        <v>36</v>
      </c>
      <c r="N203" s="11">
        <f>'FT Fee'!N57</f>
        <v>0</v>
      </c>
      <c r="O203" s="11" t="str">
        <f>'FT Fee'!O57</f>
        <v>TEF</v>
      </c>
      <c r="P203" s="12" t="str">
        <f>'FT Fee'!O55</f>
        <v>TEF</v>
      </c>
      <c r="Q203" s="12" t="str">
        <f>'FT Fee'!P55</f>
        <v/>
      </c>
      <c r="R203" s="13" t="str">
        <f>'FT Fee'!Q55</f>
        <v>_TEF_</v>
      </c>
      <c r="S203" s="13" t="str">
        <f>'FT Fee'!R55</f>
        <v/>
      </c>
      <c r="T203" s="12" t="str">
        <f>'FT Fee'!S55</f>
        <v/>
      </c>
      <c r="U203" s="12" t="str">
        <f>'FT Fee'!T55</f>
        <v/>
      </c>
      <c r="V203" s="12" t="str">
        <f>'FT Fee'!U55</f>
        <v>NO</v>
      </c>
      <c r="W203" s="14" t="str">
        <f>'FT Fee'!V55</f>
        <v/>
      </c>
      <c r="X203" s="14" t="str">
        <f>'FT Fee'!W55</f>
        <v/>
      </c>
      <c r="Y203" s="14" t="str">
        <f>'FT Fee'!X55</f>
        <v/>
      </c>
      <c r="Z203" s="15" t="str">
        <f>'FT Fee'!Y55</f>
        <v/>
      </c>
    </row>
    <row r="204" spans="1:26" ht="12.75" hidden="1" customHeight="1" x14ac:dyDescent="0.2">
      <c r="A204" s="16">
        <f>'FT Fee'!A58</f>
        <v>37</v>
      </c>
      <c r="B204" s="447">
        <f>'FT Fee'!B58</f>
        <v>0</v>
      </c>
      <c r="C204" s="447"/>
      <c r="D204" s="447">
        <f>'FT Fee'!D58</f>
        <v>0</v>
      </c>
      <c r="E204" s="446">
        <f>'FT Fee'!D56</f>
        <v>0</v>
      </c>
      <c r="F204" s="11">
        <f>'FT Fee'!G56</f>
        <v>0</v>
      </c>
      <c r="G204" s="11">
        <f>'FT Fee'!H58</f>
        <v>0</v>
      </c>
      <c r="H204" s="456">
        <f>'FT Fee'!I58</f>
        <v>0</v>
      </c>
      <c r="I204" s="448"/>
      <c r="J204" s="455">
        <f>'FT Fee'!I56</f>
        <v>0</v>
      </c>
      <c r="K204" s="448" t="str">
        <f>'FT Fee'!K58</f>
        <v/>
      </c>
      <c r="L204" s="448" t="str">
        <f>'FT Fee'!L58</f>
        <v>1a</v>
      </c>
      <c r="M204" s="449">
        <f>'FT Fee'!M58</f>
        <v>37</v>
      </c>
      <c r="N204" s="11">
        <f>'FT Fee'!N58</f>
        <v>0</v>
      </c>
      <c r="O204" s="11" t="str">
        <f>'FT Fee'!O58</f>
        <v>TEF</v>
      </c>
      <c r="P204" s="12" t="str">
        <f>'FT Fee'!O56</f>
        <v>TEF</v>
      </c>
      <c r="Q204" s="12" t="str">
        <f>'FT Fee'!P56</f>
        <v/>
      </c>
      <c r="R204" s="13" t="str">
        <f>'FT Fee'!Q56</f>
        <v>_TEF_</v>
      </c>
      <c r="S204" s="13" t="str">
        <f>'FT Fee'!R56</f>
        <v/>
      </c>
      <c r="T204" s="12" t="str">
        <f>'FT Fee'!S56</f>
        <v/>
      </c>
      <c r="U204" s="12" t="str">
        <f>'FT Fee'!T56</f>
        <v/>
      </c>
      <c r="V204" s="12" t="str">
        <f>'FT Fee'!U56</f>
        <v>NO</v>
      </c>
      <c r="W204" s="14" t="str">
        <f>'FT Fee'!V56</f>
        <v/>
      </c>
      <c r="X204" s="14" t="str">
        <f>'FT Fee'!W56</f>
        <v/>
      </c>
      <c r="Y204" s="14" t="str">
        <f>'FT Fee'!X56</f>
        <v/>
      </c>
      <c r="Z204" s="15" t="str">
        <f>'FT Fee'!Y56</f>
        <v/>
      </c>
    </row>
    <row r="205" spans="1:26" ht="12.75" hidden="1" customHeight="1" x14ac:dyDescent="0.2">
      <c r="A205" s="16">
        <f>'FT Fee'!A59</f>
        <v>38</v>
      </c>
      <c r="B205" s="447">
        <f>'FT Fee'!B59</f>
        <v>0</v>
      </c>
      <c r="C205" s="447"/>
      <c r="D205" s="447">
        <f>'FT Fee'!D59</f>
        <v>0</v>
      </c>
      <c r="E205" s="446">
        <f>'FT Fee'!D57</f>
        <v>0</v>
      </c>
      <c r="F205" s="11">
        <f>'FT Fee'!G57</f>
        <v>0</v>
      </c>
      <c r="G205" s="19">
        <f>'FT Fee'!H59</f>
        <v>0</v>
      </c>
      <c r="H205" s="456">
        <f>'FT Fee'!I59</f>
        <v>0</v>
      </c>
      <c r="I205" s="448"/>
      <c r="J205" s="455">
        <f>'FT Fee'!I57</f>
        <v>0</v>
      </c>
      <c r="K205" s="448" t="str">
        <f>'FT Fee'!K59</f>
        <v/>
      </c>
      <c r="L205" s="448" t="str">
        <f>'FT Fee'!L59</f>
        <v>1a</v>
      </c>
      <c r="M205" s="449">
        <f>'FT Fee'!M59</f>
        <v>38</v>
      </c>
      <c r="N205" s="19">
        <f>'FT Fee'!N59</f>
        <v>0</v>
      </c>
      <c r="O205" s="19" t="str">
        <f>'FT Fee'!O59</f>
        <v>TEF</v>
      </c>
      <c r="P205" s="12" t="str">
        <f>'FT Fee'!O57</f>
        <v>TEF</v>
      </c>
      <c r="Q205" s="12" t="str">
        <f>'FT Fee'!P57</f>
        <v/>
      </c>
      <c r="R205" s="13" t="str">
        <f>'FT Fee'!Q57</f>
        <v>_TEF_</v>
      </c>
      <c r="S205" s="13" t="str">
        <f>'FT Fee'!R57</f>
        <v/>
      </c>
      <c r="T205" s="12" t="str">
        <f>'FT Fee'!S57</f>
        <v/>
      </c>
      <c r="U205" s="12" t="str">
        <f>'FT Fee'!T57</f>
        <v/>
      </c>
      <c r="V205" s="12" t="str">
        <f>'FT Fee'!U57</f>
        <v>NO</v>
      </c>
      <c r="W205" s="14" t="str">
        <f>'FT Fee'!V57</f>
        <v/>
      </c>
      <c r="X205" s="14" t="str">
        <f>'FT Fee'!W57</f>
        <v/>
      </c>
      <c r="Y205" s="14" t="str">
        <f>'FT Fee'!X57</f>
        <v/>
      </c>
      <c r="Z205" s="15" t="str">
        <f>'FT Fee'!Y57</f>
        <v/>
      </c>
    </row>
    <row r="206" spans="1:26" ht="12.75" hidden="1" customHeight="1" x14ac:dyDescent="0.2">
      <c r="A206" s="16">
        <f>'FT Fee'!A60</f>
        <v>39</v>
      </c>
      <c r="B206" s="444">
        <f>'FT Fee'!B60</f>
        <v>0</v>
      </c>
      <c r="C206" s="444"/>
      <c r="D206" s="444">
        <f>'FT Fee'!D60</f>
        <v>0</v>
      </c>
      <c r="E206" s="446">
        <f>'FT Fee'!D58</f>
        <v>0</v>
      </c>
      <c r="F206" s="11">
        <f>'FT Fee'!G58</f>
        <v>0</v>
      </c>
      <c r="G206" s="20">
        <f>'FT Fee'!H60</f>
        <v>0</v>
      </c>
      <c r="H206" s="455">
        <f>'FT Fee'!I60</f>
        <v>0</v>
      </c>
      <c r="I206" s="445"/>
      <c r="J206" s="455">
        <f>'FT Fee'!I58</f>
        <v>0</v>
      </c>
      <c r="K206" s="445" t="str">
        <f>'FT Fee'!K60</f>
        <v/>
      </c>
      <c r="L206" s="445" t="str">
        <f>'FT Fee'!L60</f>
        <v>1a</v>
      </c>
      <c r="M206" s="446">
        <f>'FT Fee'!M60</f>
        <v>39</v>
      </c>
      <c r="N206" s="20">
        <f>'FT Fee'!N60</f>
        <v>0</v>
      </c>
      <c r="O206" s="20" t="str">
        <f>'FT Fee'!O60</f>
        <v>TEF</v>
      </c>
      <c r="P206" s="12" t="str">
        <f>'FT Fee'!O58</f>
        <v>TEF</v>
      </c>
      <c r="Q206" s="12" t="str">
        <f>'FT Fee'!P58</f>
        <v/>
      </c>
      <c r="R206" s="13" t="str">
        <f>'FT Fee'!Q58</f>
        <v>_TEF_</v>
      </c>
      <c r="S206" s="13" t="str">
        <f>'FT Fee'!R58</f>
        <v/>
      </c>
      <c r="T206" s="12" t="str">
        <f>'FT Fee'!S58</f>
        <v/>
      </c>
      <c r="U206" s="12" t="str">
        <f>'FT Fee'!T58</f>
        <v/>
      </c>
      <c r="V206" s="12" t="str">
        <f>'FT Fee'!U58</f>
        <v>NO</v>
      </c>
      <c r="W206" s="14" t="str">
        <f>'FT Fee'!V58</f>
        <v/>
      </c>
      <c r="X206" s="14" t="str">
        <f>'FT Fee'!W58</f>
        <v/>
      </c>
      <c r="Y206" s="14" t="str">
        <f>'FT Fee'!X58</f>
        <v/>
      </c>
      <c r="Z206" s="15" t="str">
        <f>'FT Fee'!Y58</f>
        <v/>
      </c>
    </row>
    <row r="207" spans="1:26" ht="12.75" hidden="1" customHeight="1" x14ac:dyDescent="0.2">
      <c r="A207" s="16">
        <f>'FT Fee'!A61</f>
        <v>40</v>
      </c>
      <c r="B207" s="447">
        <f>'FT Fee'!B61</f>
        <v>0</v>
      </c>
      <c r="C207" s="447"/>
      <c r="D207" s="447">
        <f>'FT Fee'!D61</f>
        <v>0</v>
      </c>
      <c r="E207" s="446">
        <f>'FT Fee'!D59</f>
        <v>0</v>
      </c>
      <c r="F207" s="11">
        <f>'FT Fee'!G59</f>
        <v>0</v>
      </c>
      <c r="G207" s="11">
        <f>'FT Fee'!H61</f>
        <v>0</v>
      </c>
      <c r="H207" s="456">
        <f>'FT Fee'!I61</f>
        <v>0</v>
      </c>
      <c r="I207" s="448"/>
      <c r="J207" s="455">
        <f>'FT Fee'!I59</f>
        <v>0</v>
      </c>
      <c r="K207" s="448" t="str">
        <f>'FT Fee'!K61</f>
        <v/>
      </c>
      <c r="L207" s="448" t="str">
        <f>'FT Fee'!L61</f>
        <v>1a</v>
      </c>
      <c r="M207" s="449">
        <f>'FT Fee'!M61</f>
        <v>40</v>
      </c>
      <c r="N207" s="11">
        <f>'FT Fee'!N61</f>
        <v>0</v>
      </c>
      <c r="O207" s="11" t="str">
        <f>'FT Fee'!O61</f>
        <v>TEF</v>
      </c>
      <c r="P207" s="12" t="str">
        <f>'FT Fee'!O59</f>
        <v>TEF</v>
      </c>
      <c r="Q207" s="12" t="str">
        <f>'FT Fee'!P59</f>
        <v/>
      </c>
      <c r="R207" s="13" t="str">
        <f>'FT Fee'!Q59</f>
        <v>_TEF_</v>
      </c>
      <c r="S207" s="13" t="str">
        <f>'FT Fee'!R59</f>
        <v/>
      </c>
      <c r="T207" s="12" t="str">
        <f>'FT Fee'!S59</f>
        <v/>
      </c>
      <c r="U207" s="12" t="str">
        <f>'FT Fee'!T59</f>
        <v/>
      </c>
      <c r="V207" s="12" t="str">
        <f>'FT Fee'!U59</f>
        <v>NO</v>
      </c>
      <c r="W207" s="14" t="str">
        <f>'FT Fee'!V59</f>
        <v/>
      </c>
      <c r="X207" s="14" t="str">
        <f>'FT Fee'!W59</f>
        <v/>
      </c>
      <c r="Y207" s="14" t="str">
        <f>'FT Fee'!X59</f>
        <v/>
      </c>
      <c r="Z207" s="15" t="str">
        <f>'FT Fee'!Y59</f>
        <v/>
      </c>
    </row>
    <row r="208" spans="1:26" ht="12.75" hidden="1" customHeight="1" x14ac:dyDescent="0.2">
      <c r="A208" s="16">
        <f>'FT Fee'!A62</f>
        <v>41</v>
      </c>
      <c r="B208" s="447">
        <f>'FT Fee'!B62</f>
        <v>0</v>
      </c>
      <c r="C208" s="447"/>
      <c r="D208" s="447">
        <f>'FT Fee'!D62</f>
        <v>0</v>
      </c>
      <c r="E208" s="446">
        <f>'FT Fee'!D60</f>
        <v>0</v>
      </c>
      <c r="F208" s="11">
        <f>'FT Fee'!G60</f>
        <v>0</v>
      </c>
      <c r="G208" s="11">
        <f>'FT Fee'!H62</f>
        <v>0</v>
      </c>
      <c r="H208" s="456">
        <f>'FT Fee'!I62</f>
        <v>0</v>
      </c>
      <c r="I208" s="448"/>
      <c r="J208" s="455">
        <f>'FT Fee'!I60</f>
        <v>0</v>
      </c>
      <c r="K208" s="448" t="str">
        <f>'FT Fee'!K62</f>
        <v/>
      </c>
      <c r="L208" s="448" t="str">
        <f>'FT Fee'!L62</f>
        <v>1a</v>
      </c>
      <c r="M208" s="449">
        <f>'FT Fee'!M62</f>
        <v>41</v>
      </c>
      <c r="N208" s="11">
        <f>'FT Fee'!N62</f>
        <v>0</v>
      </c>
      <c r="O208" s="11" t="str">
        <f>'FT Fee'!O62</f>
        <v>TEF</v>
      </c>
      <c r="P208" s="12" t="str">
        <f>'FT Fee'!O60</f>
        <v>TEF</v>
      </c>
      <c r="Q208" s="12" t="str">
        <f>'FT Fee'!P60</f>
        <v/>
      </c>
      <c r="R208" s="13" t="str">
        <f>'FT Fee'!Q60</f>
        <v>_TEF_</v>
      </c>
      <c r="S208" s="13" t="str">
        <f>'FT Fee'!R60</f>
        <v/>
      </c>
      <c r="T208" s="12" t="str">
        <f>'FT Fee'!S60</f>
        <v/>
      </c>
      <c r="U208" s="12" t="str">
        <f>'FT Fee'!T60</f>
        <v/>
      </c>
      <c r="V208" s="12" t="str">
        <f>'FT Fee'!U60</f>
        <v>NO</v>
      </c>
      <c r="W208" s="14" t="str">
        <f>'FT Fee'!V60</f>
        <v/>
      </c>
      <c r="X208" s="14" t="str">
        <f>'FT Fee'!W60</f>
        <v/>
      </c>
      <c r="Y208" s="14" t="str">
        <f>'FT Fee'!X60</f>
        <v/>
      </c>
      <c r="Z208" s="15" t="str">
        <f>'FT Fee'!Y60</f>
        <v/>
      </c>
    </row>
    <row r="209" spans="1:26" ht="12.75" hidden="1" customHeight="1" x14ac:dyDescent="0.2">
      <c r="A209" s="16">
        <f>'FT Fee'!A63</f>
        <v>42</v>
      </c>
      <c r="B209" s="447">
        <f>'FT Fee'!B63</f>
        <v>0</v>
      </c>
      <c r="C209" s="447"/>
      <c r="D209" s="447">
        <f>'FT Fee'!D63</f>
        <v>0</v>
      </c>
      <c r="E209" s="446">
        <f>'FT Fee'!D61</f>
        <v>0</v>
      </c>
      <c r="F209" s="11">
        <f>'FT Fee'!G61</f>
        <v>0</v>
      </c>
      <c r="G209" s="19">
        <f>'FT Fee'!H63</f>
        <v>0</v>
      </c>
      <c r="H209" s="456">
        <f>'FT Fee'!I63</f>
        <v>0</v>
      </c>
      <c r="I209" s="448"/>
      <c r="J209" s="455">
        <f>'FT Fee'!I61</f>
        <v>0</v>
      </c>
      <c r="K209" s="448" t="str">
        <f>'FT Fee'!K63</f>
        <v/>
      </c>
      <c r="L209" s="448" t="str">
        <f>'FT Fee'!L63</f>
        <v>1a</v>
      </c>
      <c r="M209" s="449">
        <f>'FT Fee'!M63</f>
        <v>42</v>
      </c>
      <c r="N209" s="19">
        <f>'FT Fee'!N63</f>
        <v>0</v>
      </c>
      <c r="O209" s="19" t="str">
        <f>'FT Fee'!O63</f>
        <v>TEF</v>
      </c>
      <c r="P209" s="12" t="str">
        <f>'FT Fee'!O61</f>
        <v>TEF</v>
      </c>
      <c r="Q209" s="12" t="str">
        <f>'FT Fee'!P61</f>
        <v/>
      </c>
      <c r="R209" s="13" t="str">
        <f>'FT Fee'!Q61</f>
        <v>_TEF_</v>
      </c>
      <c r="S209" s="13" t="str">
        <f>'FT Fee'!R61</f>
        <v/>
      </c>
      <c r="T209" s="12" t="str">
        <f>'FT Fee'!S61</f>
        <v/>
      </c>
      <c r="U209" s="12" t="str">
        <f>'FT Fee'!T61</f>
        <v/>
      </c>
      <c r="V209" s="12" t="str">
        <f>'FT Fee'!U61</f>
        <v>NO</v>
      </c>
      <c r="W209" s="14" t="str">
        <f>'FT Fee'!V61</f>
        <v/>
      </c>
      <c r="X209" s="14" t="str">
        <f>'FT Fee'!W61</f>
        <v/>
      </c>
      <c r="Y209" s="14" t="str">
        <f>'FT Fee'!X61</f>
        <v/>
      </c>
      <c r="Z209" s="15" t="str">
        <f>'FT Fee'!Y61</f>
        <v/>
      </c>
    </row>
    <row r="210" spans="1:26" ht="12.75" hidden="1" customHeight="1" x14ac:dyDescent="0.2">
      <c r="A210" s="16">
        <f>'FT Fee'!A64</f>
        <v>43</v>
      </c>
      <c r="B210" s="444">
        <f>'FT Fee'!B64</f>
        <v>0</v>
      </c>
      <c r="C210" s="444"/>
      <c r="D210" s="444">
        <f>'FT Fee'!D64</f>
        <v>0</v>
      </c>
      <c r="E210" s="446">
        <f>'FT Fee'!D62</f>
        <v>0</v>
      </c>
      <c r="F210" s="11">
        <f>'FT Fee'!G62</f>
        <v>0</v>
      </c>
      <c r="G210" s="20">
        <f>'FT Fee'!H64</f>
        <v>0</v>
      </c>
      <c r="H210" s="455">
        <f>'FT Fee'!I64</f>
        <v>0</v>
      </c>
      <c r="I210" s="445"/>
      <c r="J210" s="455">
        <f>'FT Fee'!I62</f>
        <v>0</v>
      </c>
      <c r="K210" s="445" t="str">
        <f>'FT Fee'!K64</f>
        <v/>
      </c>
      <c r="L210" s="445" t="str">
        <f>'FT Fee'!L64</f>
        <v>1a</v>
      </c>
      <c r="M210" s="446">
        <f>'FT Fee'!M64</f>
        <v>43</v>
      </c>
      <c r="N210" s="20">
        <f>'FT Fee'!N64</f>
        <v>0</v>
      </c>
      <c r="O210" s="20" t="str">
        <f>'FT Fee'!O64</f>
        <v>TEF</v>
      </c>
      <c r="P210" s="12" t="str">
        <f>'FT Fee'!O62</f>
        <v>TEF</v>
      </c>
      <c r="Q210" s="12" t="str">
        <f>'FT Fee'!P62</f>
        <v/>
      </c>
      <c r="R210" s="13" t="str">
        <f>'FT Fee'!Q62</f>
        <v>_TEF_</v>
      </c>
      <c r="S210" s="13" t="str">
        <f>'FT Fee'!R62</f>
        <v/>
      </c>
      <c r="T210" s="12" t="str">
        <f>'FT Fee'!S62</f>
        <v/>
      </c>
      <c r="U210" s="12" t="str">
        <f>'FT Fee'!T62</f>
        <v/>
      </c>
      <c r="V210" s="12" t="str">
        <f>'FT Fee'!U62</f>
        <v>NO</v>
      </c>
      <c r="W210" s="14" t="str">
        <f>'FT Fee'!V62</f>
        <v/>
      </c>
      <c r="X210" s="14" t="str">
        <f>'FT Fee'!W62</f>
        <v/>
      </c>
      <c r="Y210" s="14" t="str">
        <f>'FT Fee'!X62</f>
        <v/>
      </c>
      <c r="Z210" s="15" t="str">
        <f>'FT Fee'!Y62</f>
        <v/>
      </c>
    </row>
    <row r="211" spans="1:26" ht="12.75" hidden="1" customHeight="1" x14ac:dyDescent="0.2">
      <c r="A211" s="16">
        <f>'FT Fee'!A65</f>
        <v>44</v>
      </c>
      <c r="B211" s="447">
        <f>'FT Fee'!B65</f>
        <v>0</v>
      </c>
      <c r="C211" s="447"/>
      <c r="D211" s="447">
        <f>'FT Fee'!D65</f>
        <v>0</v>
      </c>
      <c r="E211" s="446">
        <f>'FT Fee'!D63</f>
        <v>0</v>
      </c>
      <c r="F211" s="11">
        <f>'FT Fee'!G63</f>
        <v>0</v>
      </c>
      <c r="G211" s="11">
        <f>'FT Fee'!H65</f>
        <v>0</v>
      </c>
      <c r="H211" s="456">
        <f>'FT Fee'!I65</f>
        <v>0</v>
      </c>
      <c r="I211" s="448"/>
      <c r="J211" s="455">
        <f>'FT Fee'!I63</f>
        <v>0</v>
      </c>
      <c r="K211" s="448" t="str">
        <f>'FT Fee'!K65</f>
        <v/>
      </c>
      <c r="L211" s="448" t="str">
        <f>'FT Fee'!L65</f>
        <v>1a</v>
      </c>
      <c r="M211" s="449">
        <f>'FT Fee'!M65</f>
        <v>44</v>
      </c>
      <c r="N211" s="11">
        <f>'FT Fee'!N65</f>
        <v>0</v>
      </c>
      <c r="O211" s="11" t="str">
        <f>'FT Fee'!O65</f>
        <v>TEF</v>
      </c>
      <c r="P211" s="12" t="str">
        <f>'FT Fee'!O63</f>
        <v>TEF</v>
      </c>
      <c r="Q211" s="12" t="str">
        <f>'FT Fee'!P63</f>
        <v/>
      </c>
      <c r="R211" s="13" t="str">
        <f>'FT Fee'!Q63</f>
        <v>_TEF_</v>
      </c>
      <c r="S211" s="13" t="str">
        <f>'FT Fee'!R63</f>
        <v/>
      </c>
      <c r="T211" s="12" t="str">
        <f>'FT Fee'!S63</f>
        <v/>
      </c>
      <c r="U211" s="12" t="str">
        <f>'FT Fee'!T63</f>
        <v/>
      </c>
      <c r="V211" s="12" t="str">
        <f>'FT Fee'!U63</f>
        <v>NO</v>
      </c>
      <c r="W211" s="14" t="str">
        <f>'FT Fee'!V63</f>
        <v/>
      </c>
      <c r="X211" s="14" t="str">
        <f>'FT Fee'!W63</f>
        <v/>
      </c>
      <c r="Y211" s="14" t="str">
        <f>'FT Fee'!X63</f>
        <v/>
      </c>
      <c r="Z211" s="15" t="str">
        <f>'FT Fee'!Y63</f>
        <v/>
      </c>
    </row>
    <row r="212" spans="1:26" ht="12.75" hidden="1" customHeight="1" x14ac:dyDescent="0.2">
      <c r="A212" s="16">
        <f>'FT Fee'!A66</f>
        <v>45</v>
      </c>
      <c r="B212" s="447">
        <f>'FT Fee'!B66</f>
        <v>0</v>
      </c>
      <c r="C212" s="447"/>
      <c r="D212" s="447">
        <f>'FT Fee'!D66</f>
        <v>0</v>
      </c>
      <c r="E212" s="446">
        <f>'FT Fee'!D64</f>
        <v>0</v>
      </c>
      <c r="F212" s="11">
        <f>'FT Fee'!G64</f>
        <v>0</v>
      </c>
      <c r="G212" s="11">
        <f>'FT Fee'!H66</f>
        <v>0</v>
      </c>
      <c r="H212" s="456">
        <f>'FT Fee'!I66</f>
        <v>0</v>
      </c>
      <c r="I212" s="448"/>
      <c r="J212" s="455">
        <f>'FT Fee'!I64</f>
        <v>0</v>
      </c>
      <c r="K212" s="448" t="str">
        <f>'FT Fee'!K66</f>
        <v/>
      </c>
      <c r="L212" s="448" t="str">
        <f>'FT Fee'!L66</f>
        <v>1a</v>
      </c>
      <c r="M212" s="449">
        <f>'FT Fee'!M66</f>
        <v>45</v>
      </c>
      <c r="N212" s="11">
        <f>'FT Fee'!N66</f>
        <v>0</v>
      </c>
      <c r="O212" s="11" t="str">
        <f>'FT Fee'!O66</f>
        <v>TEF</v>
      </c>
      <c r="P212" s="12" t="str">
        <f>'FT Fee'!O64</f>
        <v>TEF</v>
      </c>
      <c r="Q212" s="12" t="str">
        <f>'FT Fee'!P64</f>
        <v/>
      </c>
      <c r="R212" s="13" t="str">
        <f>'FT Fee'!Q64</f>
        <v>_TEF_</v>
      </c>
      <c r="S212" s="13" t="str">
        <f>'FT Fee'!R64</f>
        <v/>
      </c>
      <c r="T212" s="12" t="str">
        <f>'FT Fee'!S64</f>
        <v/>
      </c>
      <c r="U212" s="12" t="str">
        <f>'FT Fee'!T64</f>
        <v/>
      </c>
      <c r="V212" s="12" t="str">
        <f>'FT Fee'!U64</f>
        <v>NO</v>
      </c>
      <c r="W212" s="14" t="str">
        <f>'FT Fee'!V64</f>
        <v/>
      </c>
      <c r="X212" s="14" t="str">
        <f>'FT Fee'!W64</f>
        <v/>
      </c>
      <c r="Y212" s="14" t="str">
        <f>'FT Fee'!X64</f>
        <v/>
      </c>
      <c r="Z212" s="15" t="str">
        <f>'FT Fee'!Y64</f>
        <v/>
      </c>
    </row>
    <row r="213" spans="1:26" ht="12.75" hidden="1" customHeight="1" x14ac:dyDescent="0.2">
      <c r="A213" s="16">
        <f>'FT Fee'!A67</f>
        <v>46</v>
      </c>
      <c r="B213" s="447">
        <f>'FT Fee'!B67</f>
        <v>0</v>
      </c>
      <c r="C213" s="447"/>
      <c r="D213" s="447">
        <f>'FT Fee'!D67</f>
        <v>0</v>
      </c>
      <c r="E213" s="446">
        <f>'FT Fee'!D65</f>
        <v>0</v>
      </c>
      <c r="F213" s="11">
        <f>'FT Fee'!G65</f>
        <v>0</v>
      </c>
      <c r="G213" s="19">
        <f>'FT Fee'!H67</f>
        <v>0</v>
      </c>
      <c r="H213" s="456">
        <f>'FT Fee'!I67</f>
        <v>0</v>
      </c>
      <c r="I213" s="448"/>
      <c r="J213" s="455">
        <f>'FT Fee'!I65</f>
        <v>0</v>
      </c>
      <c r="K213" s="448" t="str">
        <f>'FT Fee'!K67</f>
        <v/>
      </c>
      <c r="L213" s="448" t="str">
        <f>'FT Fee'!L67</f>
        <v>1a</v>
      </c>
      <c r="M213" s="449">
        <f>'FT Fee'!M67</f>
        <v>46</v>
      </c>
      <c r="N213" s="19">
        <f>'FT Fee'!N67</f>
        <v>0</v>
      </c>
      <c r="O213" s="19" t="str">
        <f>'FT Fee'!O67</f>
        <v>TEF</v>
      </c>
      <c r="P213" s="12" t="str">
        <f>'FT Fee'!O65</f>
        <v>TEF</v>
      </c>
      <c r="Q213" s="12" t="str">
        <f>'FT Fee'!P65</f>
        <v/>
      </c>
      <c r="R213" s="13" t="str">
        <f>'FT Fee'!Q65</f>
        <v>_TEF_</v>
      </c>
      <c r="S213" s="13" t="str">
        <f>'FT Fee'!R65</f>
        <v/>
      </c>
      <c r="T213" s="12" t="str">
        <f>'FT Fee'!S65</f>
        <v/>
      </c>
      <c r="U213" s="12" t="str">
        <f>'FT Fee'!T65</f>
        <v/>
      </c>
      <c r="V213" s="12" t="str">
        <f>'FT Fee'!U65</f>
        <v>NO</v>
      </c>
      <c r="W213" s="14" t="str">
        <f>'FT Fee'!V65</f>
        <v/>
      </c>
      <c r="X213" s="14" t="str">
        <f>'FT Fee'!W65</f>
        <v/>
      </c>
      <c r="Y213" s="14" t="str">
        <f>'FT Fee'!X65</f>
        <v/>
      </c>
      <c r="Z213" s="15" t="str">
        <f>'FT Fee'!Y65</f>
        <v/>
      </c>
    </row>
    <row r="214" spans="1:26" ht="12.75" hidden="1" customHeight="1" x14ac:dyDescent="0.2">
      <c r="A214" s="16">
        <f>'FT Fee'!A68</f>
        <v>47</v>
      </c>
      <c r="B214" s="444">
        <f>'FT Fee'!B68</f>
        <v>0</v>
      </c>
      <c r="C214" s="444"/>
      <c r="D214" s="444">
        <f>'FT Fee'!D68</f>
        <v>0</v>
      </c>
      <c r="E214" s="446">
        <f>'FT Fee'!D66</f>
        <v>0</v>
      </c>
      <c r="F214" s="11">
        <f>'FT Fee'!G66</f>
        <v>0</v>
      </c>
      <c r="G214" s="20">
        <f>'FT Fee'!H68</f>
        <v>0</v>
      </c>
      <c r="H214" s="455">
        <f>'FT Fee'!I68</f>
        <v>0</v>
      </c>
      <c r="I214" s="445"/>
      <c r="J214" s="455">
        <f>'FT Fee'!I66</f>
        <v>0</v>
      </c>
      <c r="K214" s="445" t="str">
        <f>'FT Fee'!K68</f>
        <v/>
      </c>
      <c r="L214" s="445" t="str">
        <f>'FT Fee'!L68</f>
        <v>1a</v>
      </c>
      <c r="M214" s="446">
        <f>'FT Fee'!M68</f>
        <v>47</v>
      </c>
      <c r="N214" s="20">
        <f>'FT Fee'!N68</f>
        <v>0</v>
      </c>
      <c r="O214" s="20" t="str">
        <f>'FT Fee'!O68</f>
        <v>TEF</v>
      </c>
      <c r="P214" s="12" t="str">
        <f>'FT Fee'!O66</f>
        <v>TEF</v>
      </c>
      <c r="Q214" s="12" t="str">
        <f>'FT Fee'!P66</f>
        <v/>
      </c>
      <c r="R214" s="13" t="str">
        <f>'FT Fee'!Q66</f>
        <v>_TEF_</v>
      </c>
      <c r="S214" s="13" t="str">
        <f>'FT Fee'!R66</f>
        <v/>
      </c>
      <c r="T214" s="12" t="str">
        <f>'FT Fee'!S66</f>
        <v/>
      </c>
      <c r="U214" s="12" t="str">
        <f>'FT Fee'!T66</f>
        <v/>
      </c>
      <c r="V214" s="12" t="str">
        <f>'FT Fee'!U66</f>
        <v>NO</v>
      </c>
      <c r="W214" s="14" t="str">
        <f>'FT Fee'!V66</f>
        <v/>
      </c>
      <c r="X214" s="14" t="str">
        <f>'FT Fee'!W66</f>
        <v/>
      </c>
      <c r="Y214" s="14" t="str">
        <f>'FT Fee'!X66</f>
        <v/>
      </c>
      <c r="Z214" s="15" t="str">
        <f>'FT Fee'!Y66</f>
        <v/>
      </c>
    </row>
    <row r="215" spans="1:26" ht="12.75" hidden="1" customHeight="1" x14ac:dyDescent="0.2">
      <c r="A215" s="16">
        <f>'FT Fee'!A69</f>
        <v>48</v>
      </c>
      <c r="B215" s="447">
        <f>'FT Fee'!B69</f>
        <v>0</v>
      </c>
      <c r="C215" s="447"/>
      <c r="D215" s="447">
        <f>'FT Fee'!D69</f>
        <v>0</v>
      </c>
      <c r="E215" s="446">
        <f>'FT Fee'!D67</f>
        <v>0</v>
      </c>
      <c r="F215" s="11">
        <f>'FT Fee'!G67</f>
        <v>0</v>
      </c>
      <c r="G215" s="11">
        <f>'FT Fee'!H69</f>
        <v>0</v>
      </c>
      <c r="H215" s="456">
        <f>'FT Fee'!I69</f>
        <v>0</v>
      </c>
      <c r="I215" s="448"/>
      <c r="J215" s="455">
        <f>'FT Fee'!I67</f>
        <v>0</v>
      </c>
      <c r="K215" s="448" t="str">
        <f>'FT Fee'!K69</f>
        <v/>
      </c>
      <c r="L215" s="448" t="str">
        <f>'FT Fee'!L69</f>
        <v>1a</v>
      </c>
      <c r="M215" s="449">
        <f>'FT Fee'!M69</f>
        <v>48</v>
      </c>
      <c r="N215" s="11">
        <f>'FT Fee'!N69</f>
        <v>0</v>
      </c>
      <c r="O215" s="11" t="str">
        <f>'FT Fee'!O69</f>
        <v>TEF</v>
      </c>
      <c r="P215" s="12" t="str">
        <f>'FT Fee'!O67</f>
        <v>TEF</v>
      </c>
      <c r="Q215" s="12" t="str">
        <f>'FT Fee'!P67</f>
        <v/>
      </c>
      <c r="R215" s="13" t="str">
        <f>'FT Fee'!Q67</f>
        <v>_TEF_</v>
      </c>
      <c r="S215" s="13" t="str">
        <f>'FT Fee'!R67</f>
        <v/>
      </c>
      <c r="T215" s="12" t="str">
        <f>'FT Fee'!S67</f>
        <v/>
      </c>
      <c r="U215" s="12" t="str">
        <f>'FT Fee'!T67</f>
        <v/>
      </c>
      <c r="V215" s="12" t="str">
        <f>'FT Fee'!U67</f>
        <v>NO</v>
      </c>
      <c r="W215" s="14" t="str">
        <f>'FT Fee'!V67</f>
        <v/>
      </c>
      <c r="X215" s="14" t="str">
        <f>'FT Fee'!W67</f>
        <v/>
      </c>
      <c r="Y215" s="14" t="str">
        <f>'FT Fee'!X67</f>
        <v/>
      </c>
      <c r="Z215" s="15" t="str">
        <f>'FT Fee'!Y67</f>
        <v/>
      </c>
    </row>
    <row r="216" spans="1:26" ht="12.75" hidden="1" customHeight="1" x14ac:dyDescent="0.2">
      <c r="A216" s="16">
        <f>'FT Fee'!A70</f>
        <v>49</v>
      </c>
      <c r="B216" s="447">
        <f>'FT Fee'!B70</f>
        <v>0</v>
      </c>
      <c r="C216" s="447"/>
      <c r="D216" s="447">
        <f>'FT Fee'!D70</f>
        <v>0</v>
      </c>
      <c r="E216" s="446">
        <f>'FT Fee'!D68</f>
        <v>0</v>
      </c>
      <c r="F216" s="11">
        <f>'FT Fee'!G68</f>
        <v>0</v>
      </c>
      <c r="G216" s="11">
        <f>'FT Fee'!H70</f>
        <v>0</v>
      </c>
      <c r="H216" s="456">
        <f>'FT Fee'!I70</f>
        <v>0</v>
      </c>
      <c r="I216" s="448"/>
      <c r="J216" s="455">
        <f>'FT Fee'!I68</f>
        <v>0</v>
      </c>
      <c r="K216" s="448" t="str">
        <f>'FT Fee'!K70</f>
        <v/>
      </c>
      <c r="L216" s="448" t="str">
        <f>'FT Fee'!L70</f>
        <v>1a</v>
      </c>
      <c r="M216" s="449">
        <f>'FT Fee'!M70</f>
        <v>49</v>
      </c>
      <c r="N216" s="11">
        <f>'FT Fee'!N70</f>
        <v>0</v>
      </c>
      <c r="O216" s="11" t="str">
        <f>'FT Fee'!O70</f>
        <v>TEF</v>
      </c>
      <c r="P216" s="12" t="str">
        <f>'FT Fee'!O68</f>
        <v>TEF</v>
      </c>
      <c r="Q216" s="12" t="str">
        <f>'FT Fee'!P68</f>
        <v/>
      </c>
      <c r="R216" s="13" t="str">
        <f>'FT Fee'!Q68</f>
        <v>_TEF_</v>
      </c>
      <c r="S216" s="13" t="str">
        <f>'FT Fee'!R68</f>
        <v/>
      </c>
      <c r="T216" s="12" t="str">
        <f>'FT Fee'!S68</f>
        <v/>
      </c>
      <c r="U216" s="12" t="str">
        <f>'FT Fee'!T68</f>
        <v/>
      </c>
      <c r="V216" s="12" t="str">
        <f>'FT Fee'!U68</f>
        <v>NO</v>
      </c>
      <c r="W216" s="14" t="str">
        <f>'FT Fee'!V68</f>
        <v/>
      </c>
      <c r="X216" s="14" t="str">
        <f>'FT Fee'!W68</f>
        <v/>
      </c>
      <c r="Y216" s="14" t="str">
        <f>'FT Fee'!X68</f>
        <v/>
      </c>
      <c r="Z216" s="15" t="str">
        <f>'FT Fee'!Y68</f>
        <v/>
      </c>
    </row>
    <row r="217" spans="1:26" ht="12.75" hidden="1" customHeight="1" x14ac:dyDescent="0.2">
      <c r="A217" s="16">
        <f>'FT Fee'!A71</f>
        <v>50</v>
      </c>
      <c r="B217" s="447">
        <f>'FT Fee'!B71</f>
        <v>0</v>
      </c>
      <c r="C217" s="447"/>
      <c r="D217" s="447">
        <f>'FT Fee'!D71</f>
        <v>0</v>
      </c>
      <c r="E217" s="446">
        <f>'FT Fee'!D69</f>
        <v>0</v>
      </c>
      <c r="F217" s="11">
        <f>'FT Fee'!G69</f>
        <v>0</v>
      </c>
      <c r="G217" s="19">
        <f>'FT Fee'!H71</f>
        <v>0</v>
      </c>
      <c r="H217" s="456">
        <f>'FT Fee'!I71</f>
        <v>0</v>
      </c>
      <c r="I217" s="448"/>
      <c r="J217" s="455">
        <f>'FT Fee'!I69</f>
        <v>0</v>
      </c>
      <c r="K217" s="448" t="str">
        <f>'FT Fee'!K71</f>
        <v/>
      </c>
      <c r="L217" s="448" t="str">
        <f>'FT Fee'!L71</f>
        <v>1a</v>
      </c>
      <c r="M217" s="449">
        <f>'FT Fee'!M71</f>
        <v>50</v>
      </c>
      <c r="N217" s="19">
        <f>'FT Fee'!N71</f>
        <v>0</v>
      </c>
      <c r="O217" s="19" t="str">
        <f>'FT Fee'!O71</f>
        <v>TEF</v>
      </c>
      <c r="P217" s="12" t="str">
        <f>'FT Fee'!O69</f>
        <v>TEF</v>
      </c>
      <c r="Q217" s="12" t="str">
        <f>'FT Fee'!P69</f>
        <v/>
      </c>
      <c r="R217" s="13" t="str">
        <f>'FT Fee'!Q69</f>
        <v>_TEF_</v>
      </c>
      <c r="S217" s="13" t="str">
        <f>'FT Fee'!R69</f>
        <v/>
      </c>
      <c r="T217" s="12" t="str">
        <f>'FT Fee'!S69</f>
        <v/>
      </c>
      <c r="U217" s="12" t="str">
        <f>'FT Fee'!T69</f>
        <v/>
      </c>
      <c r="V217" s="12" t="str">
        <f>'FT Fee'!U69</f>
        <v>NO</v>
      </c>
      <c r="W217" s="14" t="str">
        <f>'FT Fee'!V69</f>
        <v/>
      </c>
      <c r="X217" s="14" t="str">
        <f>'FT Fee'!W69</f>
        <v/>
      </c>
      <c r="Y217" s="14" t="str">
        <f>'FT Fee'!X69</f>
        <v/>
      </c>
      <c r="Z217" s="15" t="str">
        <f>'FT Fee'!Y69</f>
        <v/>
      </c>
    </row>
    <row r="218" spans="1:26" ht="12.75" hidden="1" customHeight="1" x14ac:dyDescent="0.2">
      <c r="A218" s="16">
        <f>'FT Fee'!A72</f>
        <v>51</v>
      </c>
      <c r="B218" s="444">
        <f>'FT Fee'!B72</f>
        <v>0</v>
      </c>
      <c r="C218" s="444"/>
      <c r="D218" s="444">
        <f>'FT Fee'!D72</f>
        <v>0</v>
      </c>
      <c r="E218" s="446">
        <f>'FT Fee'!D70</f>
        <v>0</v>
      </c>
      <c r="F218" s="11">
        <f>'FT Fee'!G70</f>
        <v>0</v>
      </c>
      <c r="G218" s="20">
        <f>'FT Fee'!H72</f>
        <v>0</v>
      </c>
      <c r="H218" s="455">
        <f>'FT Fee'!I72</f>
        <v>0</v>
      </c>
      <c r="I218" s="445"/>
      <c r="J218" s="455">
        <f>'FT Fee'!I70</f>
        <v>0</v>
      </c>
      <c r="K218" s="445" t="str">
        <f>'FT Fee'!K72</f>
        <v/>
      </c>
      <c r="L218" s="445" t="str">
        <f>'FT Fee'!L72</f>
        <v>1a</v>
      </c>
      <c r="M218" s="446">
        <f>'FT Fee'!M72</f>
        <v>51</v>
      </c>
      <c r="N218" s="20">
        <f>'FT Fee'!N72</f>
        <v>0</v>
      </c>
      <c r="O218" s="20" t="str">
        <f>'FT Fee'!O72</f>
        <v>TEF</v>
      </c>
      <c r="P218" s="12" t="str">
        <f>'FT Fee'!O70</f>
        <v>TEF</v>
      </c>
      <c r="Q218" s="12" t="str">
        <f>'FT Fee'!P70</f>
        <v/>
      </c>
      <c r="R218" s="13" t="str">
        <f>'FT Fee'!Q70</f>
        <v>_TEF_</v>
      </c>
      <c r="S218" s="13" t="str">
        <f>'FT Fee'!R70</f>
        <v/>
      </c>
      <c r="T218" s="12" t="str">
        <f>'FT Fee'!S70</f>
        <v/>
      </c>
      <c r="U218" s="12" t="str">
        <f>'FT Fee'!T70</f>
        <v/>
      </c>
      <c r="V218" s="12" t="str">
        <f>'FT Fee'!U70</f>
        <v>NO</v>
      </c>
      <c r="W218" s="14" t="str">
        <f>'FT Fee'!V70</f>
        <v/>
      </c>
      <c r="X218" s="14" t="str">
        <f>'FT Fee'!W70</f>
        <v/>
      </c>
      <c r="Y218" s="14" t="str">
        <f>'FT Fee'!X70</f>
        <v/>
      </c>
      <c r="Z218" s="15" t="str">
        <f>'FT Fee'!Y70</f>
        <v/>
      </c>
    </row>
    <row r="219" spans="1:26" ht="12.75" hidden="1" customHeight="1" x14ac:dyDescent="0.2">
      <c r="A219" s="16">
        <f>'FT Fee'!A73</f>
        <v>52</v>
      </c>
      <c r="B219" s="447">
        <f>'FT Fee'!B73</f>
        <v>0</v>
      </c>
      <c r="C219" s="447"/>
      <c r="D219" s="447">
        <f>'FT Fee'!D73</f>
        <v>0</v>
      </c>
      <c r="E219" s="446">
        <f>'FT Fee'!D71</f>
        <v>0</v>
      </c>
      <c r="F219" s="11">
        <f>'FT Fee'!G71</f>
        <v>0</v>
      </c>
      <c r="G219" s="11">
        <f>'FT Fee'!H73</f>
        <v>0</v>
      </c>
      <c r="H219" s="456">
        <f>'FT Fee'!I73</f>
        <v>0</v>
      </c>
      <c r="I219" s="448"/>
      <c r="J219" s="455">
        <f>'FT Fee'!I71</f>
        <v>0</v>
      </c>
      <c r="K219" s="448" t="str">
        <f>'FT Fee'!K73</f>
        <v/>
      </c>
      <c r="L219" s="448" t="str">
        <f>'FT Fee'!L73</f>
        <v>1a</v>
      </c>
      <c r="M219" s="449">
        <f>'FT Fee'!M73</f>
        <v>52</v>
      </c>
      <c r="N219" s="11">
        <f>'FT Fee'!N73</f>
        <v>0</v>
      </c>
      <c r="O219" s="11" t="str">
        <f>'FT Fee'!O73</f>
        <v>TEF</v>
      </c>
      <c r="P219" s="12" t="str">
        <f>'FT Fee'!O71</f>
        <v>TEF</v>
      </c>
      <c r="Q219" s="12" t="str">
        <f>'FT Fee'!P71</f>
        <v/>
      </c>
      <c r="R219" s="13" t="str">
        <f>'FT Fee'!Q71</f>
        <v>_TEF_</v>
      </c>
      <c r="S219" s="13" t="str">
        <f>'FT Fee'!R71</f>
        <v/>
      </c>
      <c r="T219" s="12" t="str">
        <f>'FT Fee'!S71</f>
        <v/>
      </c>
      <c r="U219" s="12" t="str">
        <f>'FT Fee'!T71</f>
        <v/>
      </c>
      <c r="V219" s="12" t="str">
        <f>'FT Fee'!U71</f>
        <v>NO</v>
      </c>
      <c r="W219" s="14" t="str">
        <f>'FT Fee'!V71</f>
        <v/>
      </c>
      <c r="X219" s="14" t="str">
        <f>'FT Fee'!W71</f>
        <v/>
      </c>
      <c r="Y219" s="14" t="str">
        <f>'FT Fee'!X71</f>
        <v/>
      </c>
      <c r="Z219" s="15" t="str">
        <f>'FT Fee'!Y71</f>
        <v/>
      </c>
    </row>
    <row r="220" spans="1:26" ht="12.75" hidden="1" customHeight="1" x14ac:dyDescent="0.2">
      <c r="A220" s="16">
        <f>'FT Fee'!A74</f>
        <v>53</v>
      </c>
      <c r="B220" s="447">
        <f>'FT Fee'!B74</f>
        <v>0</v>
      </c>
      <c r="C220" s="447"/>
      <c r="D220" s="447">
        <f>'FT Fee'!D74</f>
        <v>0</v>
      </c>
      <c r="E220" s="446">
        <f>'FT Fee'!D72</f>
        <v>0</v>
      </c>
      <c r="F220" s="11">
        <f>'FT Fee'!G72</f>
        <v>0</v>
      </c>
      <c r="G220" s="11">
        <f>'FT Fee'!H74</f>
        <v>0</v>
      </c>
      <c r="H220" s="456">
        <f>'FT Fee'!I74</f>
        <v>0</v>
      </c>
      <c r="I220" s="448"/>
      <c r="J220" s="455">
        <f>'FT Fee'!I72</f>
        <v>0</v>
      </c>
      <c r="K220" s="448" t="str">
        <f>'FT Fee'!K74</f>
        <v/>
      </c>
      <c r="L220" s="448" t="str">
        <f>'FT Fee'!L74</f>
        <v>1a</v>
      </c>
      <c r="M220" s="449">
        <f>'FT Fee'!M74</f>
        <v>53</v>
      </c>
      <c r="N220" s="11">
        <f>'FT Fee'!N74</f>
        <v>0</v>
      </c>
      <c r="O220" s="11" t="str">
        <f>'FT Fee'!O74</f>
        <v>TEF</v>
      </c>
      <c r="P220" s="12" t="str">
        <f>'FT Fee'!O72</f>
        <v>TEF</v>
      </c>
      <c r="Q220" s="12" t="str">
        <f>'FT Fee'!P72</f>
        <v/>
      </c>
      <c r="R220" s="13" t="str">
        <f>'FT Fee'!Q72</f>
        <v>_TEF_</v>
      </c>
      <c r="S220" s="13" t="str">
        <f>'FT Fee'!R72</f>
        <v/>
      </c>
      <c r="T220" s="12" t="str">
        <f>'FT Fee'!S72</f>
        <v/>
      </c>
      <c r="U220" s="12" t="str">
        <f>'FT Fee'!T72</f>
        <v/>
      </c>
      <c r="V220" s="12" t="str">
        <f>'FT Fee'!U72</f>
        <v>NO</v>
      </c>
      <c r="W220" s="14" t="str">
        <f>'FT Fee'!V72</f>
        <v/>
      </c>
      <c r="X220" s="14" t="str">
        <f>'FT Fee'!W72</f>
        <v/>
      </c>
      <c r="Y220" s="14" t="str">
        <f>'FT Fee'!X72</f>
        <v/>
      </c>
      <c r="Z220" s="15" t="str">
        <f>'FT Fee'!Y72</f>
        <v/>
      </c>
    </row>
    <row r="221" spans="1:26" ht="12.75" hidden="1" customHeight="1" x14ac:dyDescent="0.2">
      <c r="A221" s="16">
        <f>'FT Fee'!A75</f>
        <v>54</v>
      </c>
      <c r="B221" s="447">
        <f>'FT Fee'!B75</f>
        <v>0</v>
      </c>
      <c r="C221" s="447"/>
      <c r="D221" s="447">
        <f>'FT Fee'!D75</f>
        <v>0</v>
      </c>
      <c r="E221" s="446">
        <f>'FT Fee'!D73</f>
        <v>0</v>
      </c>
      <c r="F221" s="11">
        <f>'FT Fee'!G73</f>
        <v>0</v>
      </c>
      <c r="G221" s="19">
        <f>'FT Fee'!H75</f>
        <v>0</v>
      </c>
      <c r="H221" s="456">
        <f>'FT Fee'!I75</f>
        <v>0</v>
      </c>
      <c r="I221" s="448"/>
      <c r="J221" s="455">
        <f>'FT Fee'!I73</f>
        <v>0</v>
      </c>
      <c r="K221" s="448" t="str">
        <f>'FT Fee'!K75</f>
        <v/>
      </c>
      <c r="L221" s="448" t="str">
        <f>'FT Fee'!L75</f>
        <v>1a</v>
      </c>
      <c r="M221" s="449">
        <f>'FT Fee'!M75</f>
        <v>54</v>
      </c>
      <c r="N221" s="19">
        <f>'FT Fee'!N75</f>
        <v>0</v>
      </c>
      <c r="O221" s="19" t="str">
        <f>'FT Fee'!O75</f>
        <v>TEF</v>
      </c>
      <c r="P221" s="12" t="str">
        <f>'FT Fee'!O73</f>
        <v>TEF</v>
      </c>
      <c r="Q221" s="12" t="str">
        <f>'FT Fee'!P73</f>
        <v/>
      </c>
      <c r="R221" s="13" t="str">
        <f>'FT Fee'!Q73</f>
        <v>_TEF_</v>
      </c>
      <c r="S221" s="13" t="str">
        <f>'FT Fee'!R73</f>
        <v/>
      </c>
      <c r="T221" s="12" t="str">
        <f>'FT Fee'!S73</f>
        <v/>
      </c>
      <c r="U221" s="12" t="str">
        <f>'FT Fee'!T73</f>
        <v/>
      </c>
      <c r="V221" s="12" t="str">
        <f>'FT Fee'!U73</f>
        <v>NO</v>
      </c>
      <c r="W221" s="14" t="str">
        <f>'FT Fee'!V73</f>
        <v/>
      </c>
      <c r="X221" s="14" t="str">
        <f>'FT Fee'!W73</f>
        <v/>
      </c>
      <c r="Y221" s="14" t="str">
        <f>'FT Fee'!X73</f>
        <v/>
      </c>
      <c r="Z221" s="15" t="str">
        <f>'FT Fee'!Y73</f>
        <v/>
      </c>
    </row>
    <row r="222" spans="1:26" ht="12.75" hidden="1" customHeight="1" x14ac:dyDescent="0.2">
      <c r="A222" s="16">
        <f>'FT Fee'!A76</f>
        <v>55</v>
      </c>
      <c r="B222" s="444">
        <f>'FT Fee'!B76</f>
        <v>0</v>
      </c>
      <c r="C222" s="444"/>
      <c r="D222" s="444">
        <f>'FT Fee'!D76</f>
        <v>0</v>
      </c>
      <c r="E222" s="446">
        <f>'FT Fee'!D74</f>
        <v>0</v>
      </c>
      <c r="F222" s="11">
        <f>'FT Fee'!G74</f>
        <v>0</v>
      </c>
      <c r="G222" s="20">
        <f>'FT Fee'!H76</f>
        <v>0</v>
      </c>
      <c r="H222" s="455">
        <f>'FT Fee'!I76</f>
        <v>0</v>
      </c>
      <c r="I222" s="445"/>
      <c r="J222" s="455">
        <f>'FT Fee'!I74</f>
        <v>0</v>
      </c>
      <c r="K222" s="445" t="str">
        <f>'FT Fee'!K76</f>
        <v/>
      </c>
      <c r="L222" s="445" t="str">
        <f>'FT Fee'!L76</f>
        <v>1a</v>
      </c>
      <c r="M222" s="446">
        <f>'FT Fee'!M76</f>
        <v>55</v>
      </c>
      <c r="N222" s="20">
        <f>'FT Fee'!N76</f>
        <v>0</v>
      </c>
      <c r="O222" s="20" t="str">
        <f>'FT Fee'!O76</f>
        <v>TEF</v>
      </c>
      <c r="P222" s="12" t="str">
        <f>'FT Fee'!O74</f>
        <v>TEF</v>
      </c>
      <c r="Q222" s="12" t="str">
        <f>'FT Fee'!P74</f>
        <v/>
      </c>
      <c r="R222" s="13" t="str">
        <f>'FT Fee'!Q74</f>
        <v>_TEF_</v>
      </c>
      <c r="S222" s="13" t="str">
        <f>'FT Fee'!R74</f>
        <v/>
      </c>
      <c r="T222" s="12" t="str">
        <f>'FT Fee'!S74</f>
        <v/>
      </c>
      <c r="U222" s="12" t="str">
        <f>'FT Fee'!T74</f>
        <v/>
      </c>
      <c r="V222" s="12" t="str">
        <f>'FT Fee'!U74</f>
        <v>NO</v>
      </c>
      <c r="W222" s="14" t="str">
        <f>'FT Fee'!V74</f>
        <v/>
      </c>
      <c r="X222" s="14" t="str">
        <f>'FT Fee'!W74</f>
        <v/>
      </c>
      <c r="Y222" s="14" t="str">
        <f>'FT Fee'!X74</f>
        <v/>
      </c>
      <c r="Z222" s="15" t="str">
        <f>'FT Fee'!Y74</f>
        <v/>
      </c>
    </row>
    <row r="223" spans="1:26" ht="12.75" hidden="1" customHeight="1" x14ac:dyDescent="0.2">
      <c r="A223" s="16">
        <f>'FT Fee'!A77</f>
        <v>56</v>
      </c>
      <c r="B223" s="447">
        <f>'FT Fee'!B77</f>
        <v>0</v>
      </c>
      <c r="C223" s="447"/>
      <c r="D223" s="447">
        <f>'FT Fee'!D77</f>
        <v>0</v>
      </c>
      <c r="E223" s="446">
        <f>'FT Fee'!D75</f>
        <v>0</v>
      </c>
      <c r="F223" s="11">
        <f>'FT Fee'!G75</f>
        <v>0</v>
      </c>
      <c r="G223" s="11">
        <f>'FT Fee'!H77</f>
        <v>0</v>
      </c>
      <c r="H223" s="456">
        <f>'FT Fee'!I77</f>
        <v>0</v>
      </c>
      <c r="I223" s="448"/>
      <c r="J223" s="455">
        <f>'FT Fee'!I75</f>
        <v>0</v>
      </c>
      <c r="K223" s="448" t="str">
        <f>'FT Fee'!K77</f>
        <v/>
      </c>
      <c r="L223" s="448" t="str">
        <f>'FT Fee'!L77</f>
        <v>1a</v>
      </c>
      <c r="M223" s="449">
        <f>'FT Fee'!M77</f>
        <v>56</v>
      </c>
      <c r="N223" s="11">
        <f>'FT Fee'!N77</f>
        <v>0</v>
      </c>
      <c r="O223" s="11" t="str">
        <f>'FT Fee'!O77</f>
        <v>TEF</v>
      </c>
      <c r="P223" s="12" t="str">
        <f>'FT Fee'!O75</f>
        <v>TEF</v>
      </c>
      <c r="Q223" s="12" t="str">
        <f>'FT Fee'!P75</f>
        <v/>
      </c>
      <c r="R223" s="13" t="str">
        <f>'FT Fee'!Q75</f>
        <v>_TEF_</v>
      </c>
      <c r="S223" s="13" t="str">
        <f>'FT Fee'!R75</f>
        <v/>
      </c>
      <c r="T223" s="12" t="str">
        <f>'FT Fee'!S75</f>
        <v/>
      </c>
      <c r="U223" s="12" t="str">
        <f>'FT Fee'!T75</f>
        <v/>
      </c>
      <c r="V223" s="12" t="str">
        <f>'FT Fee'!U75</f>
        <v>NO</v>
      </c>
      <c r="W223" s="14" t="str">
        <f>'FT Fee'!V75</f>
        <v/>
      </c>
      <c r="X223" s="14" t="str">
        <f>'FT Fee'!W75</f>
        <v/>
      </c>
      <c r="Y223" s="14" t="str">
        <f>'FT Fee'!X75</f>
        <v/>
      </c>
      <c r="Z223" s="15" t="str">
        <f>'FT Fee'!Y75</f>
        <v/>
      </c>
    </row>
    <row r="224" spans="1:26" ht="12.75" hidden="1" customHeight="1" x14ac:dyDescent="0.2">
      <c r="A224" s="16">
        <f>'FT Fee'!A78</f>
        <v>57</v>
      </c>
      <c r="B224" s="447">
        <f>'FT Fee'!B78</f>
        <v>0</v>
      </c>
      <c r="C224" s="447"/>
      <c r="D224" s="447">
        <f>'FT Fee'!D78</f>
        <v>0</v>
      </c>
      <c r="E224" s="446">
        <f>'FT Fee'!D76</f>
        <v>0</v>
      </c>
      <c r="F224" s="11">
        <f>'FT Fee'!G76</f>
        <v>0</v>
      </c>
      <c r="G224" s="11">
        <f>'FT Fee'!H78</f>
        <v>0</v>
      </c>
      <c r="H224" s="456">
        <f>'FT Fee'!I78</f>
        <v>0</v>
      </c>
      <c r="I224" s="448"/>
      <c r="J224" s="455">
        <f>'FT Fee'!I76</f>
        <v>0</v>
      </c>
      <c r="K224" s="448" t="str">
        <f>'FT Fee'!K78</f>
        <v/>
      </c>
      <c r="L224" s="448" t="str">
        <f>'FT Fee'!L78</f>
        <v>1a</v>
      </c>
      <c r="M224" s="449">
        <f>'FT Fee'!M78</f>
        <v>57</v>
      </c>
      <c r="N224" s="11">
        <f>'FT Fee'!N78</f>
        <v>0</v>
      </c>
      <c r="O224" s="11" t="str">
        <f>'FT Fee'!O78</f>
        <v>TEF</v>
      </c>
      <c r="P224" s="12" t="str">
        <f>'FT Fee'!O76</f>
        <v>TEF</v>
      </c>
      <c r="Q224" s="12" t="str">
        <f>'FT Fee'!P76</f>
        <v/>
      </c>
      <c r="R224" s="13" t="str">
        <f>'FT Fee'!Q76</f>
        <v>_TEF_</v>
      </c>
      <c r="S224" s="13" t="str">
        <f>'FT Fee'!R76</f>
        <v/>
      </c>
      <c r="T224" s="12" t="str">
        <f>'FT Fee'!S76</f>
        <v/>
      </c>
      <c r="U224" s="12" t="str">
        <f>'FT Fee'!T76</f>
        <v/>
      </c>
      <c r="V224" s="12" t="str">
        <f>'FT Fee'!U76</f>
        <v>NO</v>
      </c>
      <c r="W224" s="14" t="str">
        <f>'FT Fee'!V76</f>
        <v/>
      </c>
      <c r="X224" s="14" t="str">
        <f>'FT Fee'!W76</f>
        <v/>
      </c>
      <c r="Y224" s="14" t="str">
        <f>'FT Fee'!X76</f>
        <v/>
      </c>
      <c r="Z224" s="15" t="str">
        <f>'FT Fee'!Y76</f>
        <v/>
      </c>
    </row>
    <row r="225" spans="1:26" ht="12.75" hidden="1" customHeight="1" x14ac:dyDescent="0.2">
      <c r="A225" s="16">
        <f>'FT Fee'!A79</f>
        <v>58</v>
      </c>
      <c r="B225" s="447">
        <f>'FT Fee'!B79</f>
        <v>0</v>
      </c>
      <c r="C225" s="447"/>
      <c r="D225" s="447">
        <f>'FT Fee'!D79</f>
        <v>0</v>
      </c>
      <c r="E225" s="446">
        <f>'FT Fee'!D77</f>
        <v>0</v>
      </c>
      <c r="F225" s="11">
        <f>'FT Fee'!G77</f>
        <v>0</v>
      </c>
      <c r="G225" s="19">
        <f>'FT Fee'!H79</f>
        <v>0</v>
      </c>
      <c r="H225" s="456">
        <f>'FT Fee'!I79</f>
        <v>0</v>
      </c>
      <c r="I225" s="448"/>
      <c r="J225" s="455">
        <f>'FT Fee'!I77</f>
        <v>0</v>
      </c>
      <c r="K225" s="448" t="str">
        <f>'FT Fee'!K79</f>
        <v/>
      </c>
      <c r="L225" s="448" t="str">
        <f>'FT Fee'!L79</f>
        <v>1a</v>
      </c>
      <c r="M225" s="449">
        <f>'FT Fee'!M79</f>
        <v>58</v>
      </c>
      <c r="N225" s="19">
        <f>'FT Fee'!N79</f>
        <v>0</v>
      </c>
      <c r="O225" s="19" t="str">
        <f>'FT Fee'!O79</f>
        <v>TEF</v>
      </c>
      <c r="P225" s="12" t="str">
        <f>'FT Fee'!O77</f>
        <v>TEF</v>
      </c>
      <c r="Q225" s="12" t="str">
        <f>'FT Fee'!P77</f>
        <v/>
      </c>
      <c r="R225" s="13" t="str">
        <f>'FT Fee'!Q77</f>
        <v>_TEF_</v>
      </c>
      <c r="S225" s="13" t="str">
        <f>'FT Fee'!R77</f>
        <v/>
      </c>
      <c r="T225" s="12" t="str">
        <f>'FT Fee'!S77</f>
        <v/>
      </c>
      <c r="U225" s="12" t="str">
        <f>'FT Fee'!T77</f>
        <v/>
      </c>
      <c r="V225" s="12" t="str">
        <f>'FT Fee'!U77</f>
        <v>NO</v>
      </c>
      <c r="W225" s="14" t="str">
        <f>'FT Fee'!V77</f>
        <v/>
      </c>
      <c r="X225" s="14" t="str">
        <f>'FT Fee'!W77</f>
        <v/>
      </c>
      <c r="Y225" s="14" t="str">
        <f>'FT Fee'!X77</f>
        <v/>
      </c>
      <c r="Z225" s="15" t="str">
        <f>'FT Fee'!Y77</f>
        <v/>
      </c>
    </row>
    <row r="226" spans="1:26" ht="12.75" hidden="1" customHeight="1" x14ac:dyDescent="0.2">
      <c r="A226" s="16">
        <f>'FT Fee'!A80</f>
        <v>59</v>
      </c>
      <c r="B226" s="444">
        <f>'FT Fee'!B80</f>
        <v>0</v>
      </c>
      <c r="C226" s="444"/>
      <c r="D226" s="444">
        <f>'FT Fee'!D80</f>
        <v>0</v>
      </c>
      <c r="E226" s="446">
        <f>'FT Fee'!D78</f>
        <v>0</v>
      </c>
      <c r="F226" s="11">
        <f>'FT Fee'!G78</f>
        <v>0</v>
      </c>
      <c r="G226" s="20">
        <f>'FT Fee'!H80</f>
        <v>0</v>
      </c>
      <c r="H226" s="455">
        <f>'FT Fee'!I80</f>
        <v>0</v>
      </c>
      <c r="I226" s="445"/>
      <c r="J226" s="455">
        <f>'FT Fee'!I78</f>
        <v>0</v>
      </c>
      <c r="K226" s="445" t="str">
        <f>'FT Fee'!K80</f>
        <v/>
      </c>
      <c r="L226" s="445" t="str">
        <f>'FT Fee'!L80</f>
        <v>1a</v>
      </c>
      <c r="M226" s="446">
        <f>'FT Fee'!M80</f>
        <v>59</v>
      </c>
      <c r="N226" s="20">
        <f>'FT Fee'!N80</f>
        <v>0</v>
      </c>
      <c r="O226" s="20" t="str">
        <f>'FT Fee'!O80</f>
        <v>TEF</v>
      </c>
      <c r="P226" s="12" t="str">
        <f>'FT Fee'!O78</f>
        <v>TEF</v>
      </c>
      <c r="Q226" s="12" t="str">
        <f>'FT Fee'!P78</f>
        <v/>
      </c>
      <c r="R226" s="13" t="str">
        <f>'FT Fee'!Q78</f>
        <v>_TEF_</v>
      </c>
      <c r="S226" s="13" t="str">
        <f>'FT Fee'!R78</f>
        <v/>
      </c>
      <c r="T226" s="12" t="str">
        <f>'FT Fee'!S78</f>
        <v/>
      </c>
      <c r="U226" s="12" t="str">
        <f>'FT Fee'!T78</f>
        <v/>
      </c>
      <c r="V226" s="12" t="str">
        <f>'FT Fee'!U78</f>
        <v>NO</v>
      </c>
      <c r="W226" s="14" t="str">
        <f>'FT Fee'!V78</f>
        <v/>
      </c>
      <c r="X226" s="14" t="str">
        <f>'FT Fee'!W78</f>
        <v/>
      </c>
      <c r="Y226" s="14" t="str">
        <f>'FT Fee'!X78</f>
        <v/>
      </c>
      <c r="Z226" s="15" t="str">
        <f>'FT Fee'!Y78</f>
        <v/>
      </c>
    </row>
    <row r="227" spans="1:26" ht="12.75" hidden="1" customHeight="1" x14ac:dyDescent="0.2">
      <c r="A227" s="16">
        <f>'FT Fee'!A81</f>
        <v>60</v>
      </c>
      <c r="B227" s="447">
        <f>'FT Fee'!B81</f>
        <v>0</v>
      </c>
      <c r="C227" s="447"/>
      <c r="D227" s="447">
        <f>'FT Fee'!D81</f>
        <v>0</v>
      </c>
      <c r="E227" s="446">
        <f>'FT Fee'!D79</f>
        <v>0</v>
      </c>
      <c r="F227" s="11">
        <f>'FT Fee'!G79</f>
        <v>0</v>
      </c>
      <c r="G227" s="11">
        <f>'FT Fee'!H81</f>
        <v>0</v>
      </c>
      <c r="H227" s="456">
        <f>'FT Fee'!I81</f>
        <v>0</v>
      </c>
      <c r="I227" s="448"/>
      <c r="J227" s="455">
        <f>'FT Fee'!I79</f>
        <v>0</v>
      </c>
      <c r="K227" s="448" t="str">
        <f>'FT Fee'!K81</f>
        <v/>
      </c>
      <c r="L227" s="448" t="str">
        <f>'FT Fee'!L81</f>
        <v>1a</v>
      </c>
      <c r="M227" s="449">
        <f>'FT Fee'!M81</f>
        <v>60</v>
      </c>
      <c r="N227" s="11">
        <f>'FT Fee'!N81</f>
        <v>0</v>
      </c>
      <c r="O227" s="11" t="str">
        <f>'FT Fee'!O81</f>
        <v>TEF</v>
      </c>
      <c r="P227" s="12" t="str">
        <f>'FT Fee'!O79</f>
        <v>TEF</v>
      </c>
      <c r="Q227" s="12" t="str">
        <f>'FT Fee'!P79</f>
        <v/>
      </c>
      <c r="R227" s="13" t="str">
        <f>'FT Fee'!Q79</f>
        <v>_TEF_</v>
      </c>
      <c r="S227" s="13" t="str">
        <f>'FT Fee'!R79</f>
        <v/>
      </c>
      <c r="T227" s="12" t="str">
        <f>'FT Fee'!S79</f>
        <v/>
      </c>
      <c r="U227" s="12" t="str">
        <f>'FT Fee'!T79</f>
        <v/>
      </c>
      <c r="V227" s="12" t="str">
        <f>'FT Fee'!U79</f>
        <v>NO</v>
      </c>
      <c r="W227" s="14" t="str">
        <f>'FT Fee'!V79</f>
        <v/>
      </c>
      <c r="X227" s="14" t="str">
        <f>'FT Fee'!W79</f>
        <v/>
      </c>
      <c r="Y227" s="14" t="str">
        <f>'FT Fee'!X79</f>
        <v/>
      </c>
      <c r="Z227" s="15" t="str">
        <f>'FT Fee'!Y79</f>
        <v/>
      </c>
    </row>
    <row r="228" spans="1:26" ht="12.75" hidden="1" customHeight="1" x14ac:dyDescent="0.2">
      <c r="A228" s="16">
        <f>'FT Fee'!A82</f>
        <v>61</v>
      </c>
      <c r="B228" s="447">
        <f>'FT Fee'!B82</f>
        <v>0</v>
      </c>
      <c r="C228" s="447"/>
      <c r="D228" s="447">
        <f>'FT Fee'!D82</f>
        <v>0</v>
      </c>
      <c r="E228" s="446">
        <f>'FT Fee'!D80</f>
        <v>0</v>
      </c>
      <c r="F228" s="11">
        <f>'FT Fee'!G80</f>
        <v>0</v>
      </c>
      <c r="G228" s="11">
        <f>'FT Fee'!H82</f>
        <v>0</v>
      </c>
      <c r="H228" s="456">
        <f>'FT Fee'!I82</f>
        <v>0</v>
      </c>
      <c r="I228" s="448"/>
      <c r="J228" s="455">
        <f>'FT Fee'!I80</f>
        <v>0</v>
      </c>
      <c r="K228" s="448" t="str">
        <f>'FT Fee'!K82</f>
        <v/>
      </c>
      <c r="L228" s="448" t="str">
        <f>'FT Fee'!L82</f>
        <v>1a</v>
      </c>
      <c r="M228" s="449">
        <f>'FT Fee'!M82</f>
        <v>61</v>
      </c>
      <c r="N228" s="11">
        <f>'FT Fee'!N82</f>
        <v>0</v>
      </c>
      <c r="O228" s="11" t="str">
        <f>'FT Fee'!O82</f>
        <v>TEF</v>
      </c>
      <c r="P228" s="12" t="str">
        <f>'FT Fee'!O80</f>
        <v>TEF</v>
      </c>
      <c r="Q228" s="12" t="str">
        <f>'FT Fee'!P80</f>
        <v/>
      </c>
      <c r="R228" s="13" t="str">
        <f>'FT Fee'!Q80</f>
        <v>_TEF_</v>
      </c>
      <c r="S228" s="13" t="str">
        <f>'FT Fee'!R80</f>
        <v/>
      </c>
      <c r="T228" s="12" t="str">
        <f>'FT Fee'!S80</f>
        <v/>
      </c>
      <c r="U228" s="12" t="str">
        <f>'FT Fee'!T80</f>
        <v/>
      </c>
      <c r="V228" s="12" t="str">
        <f>'FT Fee'!U80</f>
        <v>NO</v>
      </c>
      <c r="W228" s="14" t="str">
        <f>'FT Fee'!V80</f>
        <v/>
      </c>
      <c r="X228" s="14" t="str">
        <f>'FT Fee'!W80</f>
        <v/>
      </c>
      <c r="Y228" s="14" t="str">
        <f>'FT Fee'!X80</f>
        <v/>
      </c>
      <c r="Z228" s="15" t="str">
        <f>'FT Fee'!Y80</f>
        <v/>
      </c>
    </row>
    <row r="229" spans="1:26" ht="12.75" hidden="1" customHeight="1" x14ac:dyDescent="0.2">
      <c r="A229" s="16">
        <f>'FT Fee'!A83</f>
        <v>62</v>
      </c>
      <c r="B229" s="447">
        <f>'FT Fee'!B83</f>
        <v>0</v>
      </c>
      <c r="C229" s="447"/>
      <c r="D229" s="447">
        <f>'FT Fee'!D83</f>
        <v>0</v>
      </c>
      <c r="E229" s="446">
        <f>'FT Fee'!D81</f>
        <v>0</v>
      </c>
      <c r="F229" s="11">
        <f>'FT Fee'!G81</f>
        <v>0</v>
      </c>
      <c r="G229" s="19">
        <f>'FT Fee'!H83</f>
        <v>0</v>
      </c>
      <c r="H229" s="456">
        <f>'FT Fee'!I83</f>
        <v>0</v>
      </c>
      <c r="I229" s="448"/>
      <c r="J229" s="455">
        <f>'FT Fee'!I81</f>
        <v>0</v>
      </c>
      <c r="K229" s="448" t="str">
        <f>'FT Fee'!K83</f>
        <v/>
      </c>
      <c r="L229" s="448" t="str">
        <f>'FT Fee'!L83</f>
        <v>1a</v>
      </c>
      <c r="M229" s="449">
        <f>'FT Fee'!M83</f>
        <v>62</v>
      </c>
      <c r="N229" s="19">
        <f>'FT Fee'!N83</f>
        <v>0</v>
      </c>
      <c r="O229" s="19" t="str">
        <f>'FT Fee'!O83</f>
        <v>TEF</v>
      </c>
      <c r="P229" s="12" t="str">
        <f>'FT Fee'!O81</f>
        <v>TEF</v>
      </c>
      <c r="Q229" s="12" t="str">
        <f>'FT Fee'!P81</f>
        <v/>
      </c>
      <c r="R229" s="13" t="str">
        <f>'FT Fee'!Q81</f>
        <v>_TEF_</v>
      </c>
      <c r="S229" s="13" t="str">
        <f>'FT Fee'!R81</f>
        <v/>
      </c>
      <c r="T229" s="12" t="str">
        <f>'FT Fee'!S81</f>
        <v/>
      </c>
      <c r="U229" s="12" t="str">
        <f>'FT Fee'!T81</f>
        <v/>
      </c>
      <c r="V229" s="12" t="str">
        <f>'FT Fee'!U81</f>
        <v>NO</v>
      </c>
      <c r="W229" s="14" t="str">
        <f>'FT Fee'!V81</f>
        <v/>
      </c>
      <c r="X229" s="14" t="str">
        <f>'FT Fee'!W81</f>
        <v/>
      </c>
      <c r="Y229" s="14" t="str">
        <f>'FT Fee'!X81</f>
        <v/>
      </c>
      <c r="Z229" s="15" t="str">
        <f>'FT Fee'!Y81</f>
        <v/>
      </c>
    </row>
    <row r="230" spans="1:26" ht="12.75" hidden="1" customHeight="1" x14ac:dyDescent="0.2">
      <c r="A230" s="16">
        <f>'FT Fee'!A84</f>
        <v>63</v>
      </c>
      <c r="B230" s="444">
        <f>'FT Fee'!B84</f>
        <v>0</v>
      </c>
      <c r="C230" s="444"/>
      <c r="D230" s="444">
        <f>'FT Fee'!D84</f>
        <v>0</v>
      </c>
      <c r="E230" s="446">
        <f>'FT Fee'!D82</f>
        <v>0</v>
      </c>
      <c r="F230" s="11">
        <f>'FT Fee'!G82</f>
        <v>0</v>
      </c>
      <c r="G230" s="20">
        <f>'FT Fee'!H84</f>
        <v>0</v>
      </c>
      <c r="H230" s="455">
        <f>'FT Fee'!I84</f>
        <v>0</v>
      </c>
      <c r="I230" s="445"/>
      <c r="J230" s="455">
        <f>'FT Fee'!I82</f>
        <v>0</v>
      </c>
      <c r="K230" s="445" t="str">
        <f>'FT Fee'!K84</f>
        <v/>
      </c>
      <c r="L230" s="445" t="str">
        <f>'FT Fee'!L84</f>
        <v>1a</v>
      </c>
      <c r="M230" s="446">
        <f>'FT Fee'!M84</f>
        <v>63</v>
      </c>
      <c r="N230" s="20">
        <f>'FT Fee'!N84</f>
        <v>0</v>
      </c>
      <c r="O230" s="20" t="str">
        <f>'FT Fee'!O84</f>
        <v>TEF</v>
      </c>
      <c r="P230" s="12" t="str">
        <f>'FT Fee'!O82</f>
        <v>TEF</v>
      </c>
      <c r="Q230" s="12" t="str">
        <f>'FT Fee'!P82</f>
        <v/>
      </c>
      <c r="R230" s="13" t="str">
        <f>'FT Fee'!Q82</f>
        <v>_TEF_</v>
      </c>
      <c r="S230" s="13" t="str">
        <f>'FT Fee'!R82</f>
        <v/>
      </c>
      <c r="T230" s="12" t="str">
        <f>'FT Fee'!S82</f>
        <v/>
      </c>
      <c r="U230" s="12" t="str">
        <f>'FT Fee'!T82</f>
        <v/>
      </c>
      <c r="V230" s="12" t="str">
        <f>'FT Fee'!U82</f>
        <v>NO</v>
      </c>
      <c r="W230" s="14" t="str">
        <f>'FT Fee'!V82</f>
        <v/>
      </c>
      <c r="X230" s="14" t="str">
        <f>'FT Fee'!W82</f>
        <v/>
      </c>
      <c r="Y230" s="14" t="str">
        <f>'FT Fee'!X82</f>
        <v/>
      </c>
      <c r="Z230" s="15" t="str">
        <f>'FT Fee'!Y82</f>
        <v/>
      </c>
    </row>
    <row r="231" spans="1:26" ht="12.75" hidden="1" customHeight="1" x14ac:dyDescent="0.2">
      <c r="A231" s="16">
        <f>'FT Fee'!A85</f>
        <v>64</v>
      </c>
      <c r="B231" s="447">
        <f>'FT Fee'!B85</f>
        <v>0</v>
      </c>
      <c r="C231" s="447"/>
      <c r="D231" s="447">
        <f>'FT Fee'!D85</f>
        <v>0</v>
      </c>
      <c r="E231" s="446">
        <f>'FT Fee'!D83</f>
        <v>0</v>
      </c>
      <c r="F231" s="11">
        <f>'FT Fee'!G83</f>
        <v>0</v>
      </c>
      <c r="G231" s="11">
        <f>'FT Fee'!H85</f>
        <v>0</v>
      </c>
      <c r="H231" s="456">
        <f>'FT Fee'!I85</f>
        <v>0</v>
      </c>
      <c r="I231" s="448"/>
      <c r="J231" s="455">
        <f>'FT Fee'!I83</f>
        <v>0</v>
      </c>
      <c r="K231" s="448" t="str">
        <f>'FT Fee'!K85</f>
        <v/>
      </c>
      <c r="L231" s="448" t="str">
        <f>'FT Fee'!L85</f>
        <v>1a</v>
      </c>
      <c r="M231" s="449">
        <f>'FT Fee'!M85</f>
        <v>64</v>
      </c>
      <c r="N231" s="11">
        <f>'FT Fee'!N85</f>
        <v>0</v>
      </c>
      <c r="O231" s="11" t="str">
        <f>'FT Fee'!O85</f>
        <v>TEF</v>
      </c>
      <c r="P231" s="12" t="str">
        <f>'FT Fee'!O83</f>
        <v>TEF</v>
      </c>
      <c r="Q231" s="12" t="str">
        <f>'FT Fee'!P83</f>
        <v/>
      </c>
      <c r="R231" s="13" t="str">
        <f>'FT Fee'!Q83</f>
        <v>_TEF_</v>
      </c>
      <c r="S231" s="13" t="str">
        <f>'FT Fee'!R83</f>
        <v/>
      </c>
      <c r="T231" s="12" t="str">
        <f>'FT Fee'!S83</f>
        <v/>
      </c>
      <c r="U231" s="12" t="str">
        <f>'FT Fee'!T83</f>
        <v/>
      </c>
      <c r="V231" s="12" t="str">
        <f>'FT Fee'!U83</f>
        <v>NO</v>
      </c>
      <c r="W231" s="14" t="str">
        <f>'FT Fee'!V83</f>
        <v/>
      </c>
      <c r="X231" s="14" t="str">
        <f>'FT Fee'!W83</f>
        <v/>
      </c>
      <c r="Y231" s="14" t="str">
        <f>'FT Fee'!X83</f>
        <v/>
      </c>
      <c r="Z231" s="15" t="str">
        <f>'FT Fee'!Y83</f>
        <v/>
      </c>
    </row>
    <row r="232" spans="1:26" ht="12.75" hidden="1" customHeight="1" x14ac:dyDescent="0.2">
      <c r="A232" s="16">
        <f>'FT Fee'!A86</f>
        <v>65</v>
      </c>
      <c r="B232" s="447">
        <f>'FT Fee'!B86</f>
        <v>0</v>
      </c>
      <c r="C232" s="447"/>
      <c r="D232" s="447">
        <f>'FT Fee'!D86</f>
        <v>0</v>
      </c>
      <c r="E232" s="446">
        <f>'FT Fee'!D84</f>
        <v>0</v>
      </c>
      <c r="F232" s="11">
        <f>'FT Fee'!G84</f>
        <v>0</v>
      </c>
      <c r="G232" s="11">
        <f>'FT Fee'!H86</f>
        <v>0</v>
      </c>
      <c r="H232" s="456">
        <f>'FT Fee'!I86</f>
        <v>0</v>
      </c>
      <c r="I232" s="448"/>
      <c r="J232" s="455">
        <f>'FT Fee'!I84</f>
        <v>0</v>
      </c>
      <c r="K232" s="448" t="str">
        <f>'FT Fee'!K86</f>
        <v/>
      </c>
      <c r="L232" s="448" t="str">
        <f>'FT Fee'!L86</f>
        <v>1a</v>
      </c>
      <c r="M232" s="449">
        <f>'FT Fee'!M86</f>
        <v>65</v>
      </c>
      <c r="N232" s="11">
        <f>'FT Fee'!N86</f>
        <v>0</v>
      </c>
      <c r="O232" s="11" t="str">
        <f>'FT Fee'!O86</f>
        <v>TEF</v>
      </c>
      <c r="P232" s="12" t="str">
        <f>'FT Fee'!O84</f>
        <v>TEF</v>
      </c>
      <c r="Q232" s="12" t="str">
        <f>'FT Fee'!P84</f>
        <v/>
      </c>
      <c r="R232" s="13" t="str">
        <f>'FT Fee'!Q84</f>
        <v>_TEF_</v>
      </c>
      <c r="S232" s="13" t="str">
        <f>'FT Fee'!R84</f>
        <v/>
      </c>
      <c r="T232" s="12" t="str">
        <f>'FT Fee'!S84</f>
        <v/>
      </c>
      <c r="U232" s="12" t="str">
        <f>'FT Fee'!T84</f>
        <v/>
      </c>
      <c r="V232" s="12" t="str">
        <f>'FT Fee'!U84</f>
        <v>NO</v>
      </c>
      <c r="W232" s="14" t="str">
        <f>'FT Fee'!V84</f>
        <v/>
      </c>
      <c r="X232" s="14" t="str">
        <f>'FT Fee'!W84</f>
        <v/>
      </c>
      <c r="Y232" s="14" t="str">
        <f>'FT Fee'!X84</f>
        <v/>
      </c>
      <c r="Z232" s="15" t="str">
        <f>'FT Fee'!Y84</f>
        <v/>
      </c>
    </row>
    <row r="233" spans="1:26" ht="12.75" hidden="1" customHeight="1" x14ac:dyDescent="0.2">
      <c r="A233" s="16">
        <f>'FT Fee'!A87</f>
        <v>66</v>
      </c>
      <c r="B233" s="447">
        <f>'FT Fee'!B87</f>
        <v>0</v>
      </c>
      <c r="C233" s="447"/>
      <c r="D233" s="447">
        <f>'FT Fee'!D87</f>
        <v>0</v>
      </c>
      <c r="E233" s="446">
        <f>'FT Fee'!D85</f>
        <v>0</v>
      </c>
      <c r="F233" s="11">
        <f>'FT Fee'!G85</f>
        <v>0</v>
      </c>
      <c r="G233" s="19">
        <f>'FT Fee'!H87</f>
        <v>0</v>
      </c>
      <c r="H233" s="456">
        <f>'FT Fee'!I87</f>
        <v>0</v>
      </c>
      <c r="I233" s="448"/>
      <c r="J233" s="455">
        <f>'FT Fee'!I85</f>
        <v>0</v>
      </c>
      <c r="K233" s="448" t="str">
        <f>'FT Fee'!K87</f>
        <v/>
      </c>
      <c r="L233" s="448" t="str">
        <f>'FT Fee'!L87</f>
        <v>1a</v>
      </c>
      <c r="M233" s="449">
        <f>'FT Fee'!M87</f>
        <v>66</v>
      </c>
      <c r="N233" s="19">
        <f>'FT Fee'!N87</f>
        <v>0</v>
      </c>
      <c r="O233" s="19" t="str">
        <f>'FT Fee'!O87</f>
        <v>TEF</v>
      </c>
      <c r="P233" s="12" t="str">
        <f>'FT Fee'!O85</f>
        <v>TEF</v>
      </c>
      <c r="Q233" s="12" t="str">
        <f>'FT Fee'!P85</f>
        <v/>
      </c>
      <c r="R233" s="13" t="str">
        <f>'FT Fee'!Q85</f>
        <v>_TEF_</v>
      </c>
      <c r="S233" s="13" t="str">
        <f>'FT Fee'!R85</f>
        <v/>
      </c>
      <c r="T233" s="12" t="str">
        <f>'FT Fee'!S85</f>
        <v/>
      </c>
      <c r="U233" s="12" t="str">
        <f>'FT Fee'!T85</f>
        <v/>
      </c>
      <c r="V233" s="12" t="str">
        <f>'FT Fee'!U85</f>
        <v>NO</v>
      </c>
      <c r="W233" s="14" t="str">
        <f>'FT Fee'!V85</f>
        <v/>
      </c>
      <c r="X233" s="14" t="str">
        <f>'FT Fee'!W85</f>
        <v/>
      </c>
      <c r="Y233" s="14" t="str">
        <f>'FT Fee'!X85</f>
        <v/>
      </c>
      <c r="Z233" s="15" t="str">
        <f>'FT Fee'!Y85</f>
        <v/>
      </c>
    </row>
    <row r="234" spans="1:26" ht="12.75" hidden="1" customHeight="1" x14ac:dyDescent="0.2">
      <c r="A234" s="16">
        <f>'FT Fee'!A88</f>
        <v>67</v>
      </c>
      <c r="B234" s="444">
        <f>'FT Fee'!B88</f>
        <v>0</v>
      </c>
      <c r="C234" s="444"/>
      <c r="D234" s="444">
        <f>'FT Fee'!D88</f>
        <v>0</v>
      </c>
      <c r="E234" s="446">
        <f>'FT Fee'!D86</f>
        <v>0</v>
      </c>
      <c r="F234" s="11">
        <f>'FT Fee'!G86</f>
        <v>0</v>
      </c>
      <c r="G234" s="20">
        <f>'FT Fee'!H88</f>
        <v>0</v>
      </c>
      <c r="H234" s="455">
        <f>'FT Fee'!I88</f>
        <v>0</v>
      </c>
      <c r="I234" s="445"/>
      <c r="J234" s="455">
        <f>'FT Fee'!I86</f>
        <v>0</v>
      </c>
      <c r="K234" s="445" t="str">
        <f>'FT Fee'!K88</f>
        <v/>
      </c>
      <c r="L234" s="445" t="str">
        <f>'FT Fee'!L88</f>
        <v>1a</v>
      </c>
      <c r="M234" s="446">
        <f>'FT Fee'!M88</f>
        <v>67</v>
      </c>
      <c r="N234" s="20">
        <f>'FT Fee'!N88</f>
        <v>0</v>
      </c>
      <c r="O234" s="20" t="str">
        <f>'FT Fee'!O88</f>
        <v>TEF</v>
      </c>
      <c r="P234" s="12" t="str">
        <f>'FT Fee'!O86</f>
        <v>TEF</v>
      </c>
      <c r="Q234" s="12" t="str">
        <f>'FT Fee'!P86</f>
        <v/>
      </c>
      <c r="R234" s="13" t="str">
        <f>'FT Fee'!Q86</f>
        <v>_TEF_</v>
      </c>
      <c r="S234" s="13" t="str">
        <f>'FT Fee'!R86</f>
        <v/>
      </c>
      <c r="T234" s="12" t="str">
        <f>'FT Fee'!S86</f>
        <v/>
      </c>
      <c r="U234" s="12" t="str">
        <f>'FT Fee'!T86</f>
        <v/>
      </c>
      <c r="V234" s="12" t="str">
        <f>'FT Fee'!U86</f>
        <v>NO</v>
      </c>
      <c r="W234" s="14" t="str">
        <f>'FT Fee'!V86</f>
        <v/>
      </c>
      <c r="X234" s="14" t="str">
        <f>'FT Fee'!W86</f>
        <v/>
      </c>
      <c r="Y234" s="14" t="str">
        <f>'FT Fee'!X86</f>
        <v/>
      </c>
      <c r="Z234" s="15" t="str">
        <f>'FT Fee'!Y86</f>
        <v/>
      </c>
    </row>
    <row r="235" spans="1:26" ht="12.75" hidden="1" customHeight="1" x14ac:dyDescent="0.2">
      <c r="A235" s="16">
        <f>'FT Fee'!A89</f>
        <v>68</v>
      </c>
      <c r="B235" s="447">
        <f>'FT Fee'!B89</f>
        <v>0</v>
      </c>
      <c r="C235" s="447"/>
      <c r="D235" s="447">
        <f>'FT Fee'!D89</f>
        <v>0</v>
      </c>
      <c r="E235" s="446">
        <f>'FT Fee'!D87</f>
        <v>0</v>
      </c>
      <c r="F235" s="11">
        <f>'FT Fee'!G87</f>
        <v>0</v>
      </c>
      <c r="G235" s="11">
        <f>'FT Fee'!H89</f>
        <v>0</v>
      </c>
      <c r="H235" s="456">
        <f>'FT Fee'!I89</f>
        <v>0</v>
      </c>
      <c r="I235" s="448"/>
      <c r="J235" s="455">
        <f>'FT Fee'!I87</f>
        <v>0</v>
      </c>
      <c r="K235" s="448" t="str">
        <f>'FT Fee'!K89</f>
        <v/>
      </c>
      <c r="L235" s="448" t="str">
        <f>'FT Fee'!L89</f>
        <v>1a</v>
      </c>
      <c r="M235" s="449">
        <f>'FT Fee'!M89</f>
        <v>68</v>
      </c>
      <c r="N235" s="11">
        <f>'FT Fee'!N89</f>
        <v>0</v>
      </c>
      <c r="O235" s="11" t="str">
        <f>'FT Fee'!O89</f>
        <v>TEF</v>
      </c>
      <c r="P235" s="12" t="str">
        <f>'FT Fee'!O87</f>
        <v>TEF</v>
      </c>
      <c r="Q235" s="12" t="str">
        <f>'FT Fee'!P87</f>
        <v/>
      </c>
      <c r="R235" s="13" t="str">
        <f>'FT Fee'!Q87</f>
        <v>_TEF_</v>
      </c>
      <c r="S235" s="13" t="str">
        <f>'FT Fee'!R87</f>
        <v/>
      </c>
      <c r="T235" s="12" t="str">
        <f>'FT Fee'!S87</f>
        <v/>
      </c>
      <c r="U235" s="12" t="str">
        <f>'FT Fee'!T87</f>
        <v/>
      </c>
      <c r="V235" s="12" t="str">
        <f>'FT Fee'!U87</f>
        <v>NO</v>
      </c>
      <c r="W235" s="14" t="str">
        <f>'FT Fee'!V87</f>
        <v/>
      </c>
      <c r="X235" s="14" t="str">
        <f>'FT Fee'!W87</f>
        <v/>
      </c>
      <c r="Y235" s="14" t="str">
        <f>'FT Fee'!X87</f>
        <v/>
      </c>
      <c r="Z235" s="15" t="str">
        <f>'FT Fee'!Y87</f>
        <v/>
      </c>
    </row>
    <row r="236" spans="1:26" ht="12.75" hidden="1" customHeight="1" x14ac:dyDescent="0.2">
      <c r="A236" s="16">
        <f>'FT Fee'!A90</f>
        <v>69</v>
      </c>
      <c r="B236" s="447">
        <f>'FT Fee'!B90</f>
        <v>0</v>
      </c>
      <c r="C236" s="447"/>
      <c r="D236" s="447">
        <f>'FT Fee'!D90</f>
        <v>0</v>
      </c>
      <c r="E236" s="446">
        <f>'FT Fee'!D88</f>
        <v>0</v>
      </c>
      <c r="F236" s="11">
        <f>'FT Fee'!G88</f>
        <v>0</v>
      </c>
      <c r="G236" s="11">
        <f>'FT Fee'!H90</f>
        <v>0</v>
      </c>
      <c r="H236" s="456">
        <f>'FT Fee'!I90</f>
        <v>0</v>
      </c>
      <c r="I236" s="448"/>
      <c r="J236" s="455">
        <f>'FT Fee'!I88</f>
        <v>0</v>
      </c>
      <c r="K236" s="448" t="str">
        <f>'FT Fee'!K90</f>
        <v/>
      </c>
      <c r="L236" s="448" t="str">
        <f>'FT Fee'!L90</f>
        <v>1a</v>
      </c>
      <c r="M236" s="449">
        <f>'FT Fee'!M90</f>
        <v>69</v>
      </c>
      <c r="N236" s="11">
        <f>'FT Fee'!N90</f>
        <v>0</v>
      </c>
      <c r="O236" s="11" t="str">
        <f>'FT Fee'!O90</f>
        <v>TEF</v>
      </c>
      <c r="P236" s="12" t="str">
        <f>'FT Fee'!O88</f>
        <v>TEF</v>
      </c>
      <c r="Q236" s="12" t="str">
        <f>'FT Fee'!P88</f>
        <v/>
      </c>
      <c r="R236" s="13" t="str">
        <f>'FT Fee'!Q88</f>
        <v>_TEF_</v>
      </c>
      <c r="S236" s="13" t="str">
        <f>'FT Fee'!R88</f>
        <v/>
      </c>
      <c r="T236" s="12" t="str">
        <f>'FT Fee'!S88</f>
        <v/>
      </c>
      <c r="U236" s="12" t="str">
        <f>'FT Fee'!T88</f>
        <v/>
      </c>
      <c r="V236" s="12" t="str">
        <f>'FT Fee'!U88</f>
        <v>NO</v>
      </c>
      <c r="W236" s="14" t="str">
        <f>'FT Fee'!V88</f>
        <v/>
      </c>
      <c r="X236" s="14" t="str">
        <f>'FT Fee'!W88</f>
        <v/>
      </c>
      <c r="Y236" s="14" t="str">
        <f>'FT Fee'!X88</f>
        <v/>
      </c>
      <c r="Z236" s="15" t="str">
        <f>'FT Fee'!Y88</f>
        <v/>
      </c>
    </row>
    <row r="237" spans="1:26" ht="12.75" hidden="1" customHeight="1" x14ac:dyDescent="0.2">
      <c r="A237" s="16">
        <f>'FT Fee'!A91</f>
        <v>70</v>
      </c>
      <c r="B237" s="447">
        <f>'FT Fee'!B91</f>
        <v>0</v>
      </c>
      <c r="C237" s="447"/>
      <c r="D237" s="447">
        <f>'FT Fee'!D91</f>
        <v>0</v>
      </c>
      <c r="E237" s="446">
        <f>'FT Fee'!D89</f>
        <v>0</v>
      </c>
      <c r="F237" s="11">
        <f>'FT Fee'!G89</f>
        <v>0</v>
      </c>
      <c r="G237" s="19">
        <f>'FT Fee'!H91</f>
        <v>0</v>
      </c>
      <c r="H237" s="456">
        <f>'FT Fee'!I91</f>
        <v>0</v>
      </c>
      <c r="I237" s="448"/>
      <c r="J237" s="455">
        <f>'FT Fee'!I89</f>
        <v>0</v>
      </c>
      <c r="K237" s="448" t="str">
        <f>'FT Fee'!K91</f>
        <v/>
      </c>
      <c r="L237" s="448" t="str">
        <f>'FT Fee'!L91</f>
        <v>1a</v>
      </c>
      <c r="M237" s="449">
        <f>'FT Fee'!M91</f>
        <v>70</v>
      </c>
      <c r="N237" s="19">
        <f>'FT Fee'!N91</f>
        <v>0</v>
      </c>
      <c r="O237" s="19" t="str">
        <f>'FT Fee'!O91</f>
        <v>TEF</v>
      </c>
      <c r="P237" s="12" t="str">
        <f>'FT Fee'!O89</f>
        <v>TEF</v>
      </c>
      <c r="Q237" s="12" t="str">
        <f>'FT Fee'!P89</f>
        <v/>
      </c>
      <c r="R237" s="13" t="str">
        <f>'FT Fee'!Q89</f>
        <v>_TEF_</v>
      </c>
      <c r="S237" s="13" t="str">
        <f>'FT Fee'!R89</f>
        <v/>
      </c>
      <c r="T237" s="12" t="str">
        <f>'FT Fee'!S89</f>
        <v/>
      </c>
      <c r="U237" s="12" t="str">
        <f>'FT Fee'!T89</f>
        <v/>
      </c>
      <c r="V237" s="12" t="str">
        <f>'FT Fee'!U89</f>
        <v>NO</v>
      </c>
      <c r="W237" s="14" t="str">
        <f>'FT Fee'!V89</f>
        <v/>
      </c>
      <c r="X237" s="14" t="str">
        <f>'FT Fee'!W89</f>
        <v/>
      </c>
      <c r="Y237" s="14" t="str">
        <f>'FT Fee'!X89</f>
        <v/>
      </c>
      <c r="Z237" s="15" t="str">
        <f>'FT Fee'!Y89</f>
        <v/>
      </c>
    </row>
    <row r="238" spans="1:26" ht="12.75" hidden="1" customHeight="1" x14ac:dyDescent="0.2">
      <c r="A238" s="16">
        <f>'FT Fee'!A92</f>
        <v>71</v>
      </c>
      <c r="B238" s="444">
        <f>'FT Fee'!B92</f>
        <v>0</v>
      </c>
      <c r="C238" s="444"/>
      <c r="D238" s="444">
        <f>'FT Fee'!D92</f>
        <v>0</v>
      </c>
      <c r="E238" s="446">
        <f>'FT Fee'!D90</f>
        <v>0</v>
      </c>
      <c r="F238" s="11">
        <f>'FT Fee'!G90</f>
        <v>0</v>
      </c>
      <c r="G238" s="20">
        <f>'FT Fee'!H92</f>
        <v>0</v>
      </c>
      <c r="H238" s="455">
        <f>'FT Fee'!I92</f>
        <v>0</v>
      </c>
      <c r="I238" s="445"/>
      <c r="J238" s="455">
        <f>'FT Fee'!I90</f>
        <v>0</v>
      </c>
      <c r="K238" s="445" t="str">
        <f>'FT Fee'!K92</f>
        <v/>
      </c>
      <c r="L238" s="445" t="str">
        <f>'FT Fee'!L92</f>
        <v>1a</v>
      </c>
      <c r="M238" s="446">
        <f>'FT Fee'!M92</f>
        <v>71</v>
      </c>
      <c r="N238" s="20">
        <f>'FT Fee'!N92</f>
        <v>0</v>
      </c>
      <c r="O238" s="20" t="str">
        <f>'FT Fee'!O92</f>
        <v>TEF</v>
      </c>
      <c r="P238" s="12" t="str">
        <f>'FT Fee'!O90</f>
        <v>TEF</v>
      </c>
      <c r="Q238" s="12" t="str">
        <f>'FT Fee'!P90</f>
        <v/>
      </c>
      <c r="R238" s="13" t="str">
        <f>'FT Fee'!Q90</f>
        <v>_TEF_</v>
      </c>
      <c r="S238" s="13" t="str">
        <f>'FT Fee'!R90</f>
        <v/>
      </c>
      <c r="T238" s="12" t="str">
        <f>'FT Fee'!S90</f>
        <v/>
      </c>
      <c r="U238" s="12" t="str">
        <f>'FT Fee'!T90</f>
        <v/>
      </c>
      <c r="V238" s="12" t="str">
        <f>'FT Fee'!U90</f>
        <v>NO</v>
      </c>
      <c r="W238" s="14" t="str">
        <f>'FT Fee'!V90</f>
        <v/>
      </c>
      <c r="X238" s="14" t="str">
        <f>'FT Fee'!W90</f>
        <v/>
      </c>
      <c r="Y238" s="14" t="str">
        <f>'FT Fee'!X90</f>
        <v/>
      </c>
      <c r="Z238" s="15" t="str">
        <f>'FT Fee'!Y90</f>
        <v/>
      </c>
    </row>
    <row r="239" spans="1:26" ht="12.75" hidden="1" customHeight="1" x14ac:dyDescent="0.2">
      <c r="A239" s="16">
        <f>'FT Fee'!A93</f>
        <v>72</v>
      </c>
      <c r="B239" s="447">
        <f>'FT Fee'!B93</f>
        <v>0</v>
      </c>
      <c r="C239" s="447"/>
      <c r="D239" s="447">
        <f>'FT Fee'!D93</f>
        <v>0</v>
      </c>
      <c r="E239" s="446">
        <f>'FT Fee'!D91</f>
        <v>0</v>
      </c>
      <c r="F239" s="11">
        <f>'FT Fee'!G91</f>
        <v>0</v>
      </c>
      <c r="G239" s="11">
        <f>'FT Fee'!H93</f>
        <v>0</v>
      </c>
      <c r="H239" s="456">
        <f>'FT Fee'!I93</f>
        <v>0</v>
      </c>
      <c r="I239" s="448"/>
      <c r="J239" s="455">
        <f>'FT Fee'!I91</f>
        <v>0</v>
      </c>
      <c r="K239" s="448" t="str">
        <f>'FT Fee'!K93</f>
        <v/>
      </c>
      <c r="L239" s="448" t="str">
        <f>'FT Fee'!L93</f>
        <v>1a</v>
      </c>
      <c r="M239" s="449">
        <f>'FT Fee'!M93</f>
        <v>72</v>
      </c>
      <c r="N239" s="11">
        <f>'FT Fee'!N93</f>
        <v>0</v>
      </c>
      <c r="O239" s="11" t="str">
        <f>'FT Fee'!O93</f>
        <v>TEF</v>
      </c>
      <c r="P239" s="12" t="str">
        <f>'FT Fee'!O91</f>
        <v>TEF</v>
      </c>
      <c r="Q239" s="12" t="str">
        <f>'FT Fee'!P91</f>
        <v/>
      </c>
      <c r="R239" s="13" t="str">
        <f>'FT Fee'!Q91</f>
        <v>_TEF_</v>
      </c>
      <c r="S239" s="13" t="str">
        <f>'FT Fee'!R91</f>
        <v/>
      </c>
      <c r="T239" s="12" t="str">
        <f>'FT Fee'!S91</f>
        <v/>
      </c>
      <c r="U239" s="12" t="str">
        <f>'FT Fee'!T91</f>
        <v/>
      </c>
      <c r="V239" s="12" t="str">
        <f>'FT Fee'!U91</f>
        <v>NO</v>
      </c>
      <c r="W239" s="14" t="str">
        <f>'FT Fee'!V91</f>
        <v/>
      </c>
      <c r="X239" s="14" t="str">
        <f>'FT Fee'!W91</f>
        <v/>
      </c>
      <c r="Y239" s="14" t="str">
        <f>'FT Fee'!X91</f>
        <v/>
      </c>
      <c r="Z239" s="15" t="str">
        <f>'FT Fee'!Y91</f>
        <v/>
      </c>
    </row>
    <row r="240" spans="1:26" ht="12.75" hidden="1" customHeight="1" x14ac:dyDescent="0.2">
      <c r="A240" s="16">
        <f>'FT Fee'!A94</f>
        <v>73</v>
      </c>
      <c r="B240" s="447">
        <f>'FT Fee'!B94</f>
        <v>0</v>
      </c>
      <c r="C240" s="447"/>
      <c r="D240" s="447">
        <f>'FT Fee'!D94</f>
        <v>0</v>
      </c>
      <c r="E240" s="446">
        <f>'FT Fee'!D92</f>
        <v>0</v>
      </c>
      <c r="F240" s="11">
        <f>'FT Fee'!G92</f>
        <v>0</v>
      </c>
      <c r="G240" s="11">
        <f>'FT Fee'!H94</f>
        <v>0</v>
      </c>
      <c r="H240" s="456">
        <f>'FT Fee'!I94</f>
        <v>0</v>
      </c>
      <c r="I240" s="448"/>
      <c r="J240" s="455">
        <f>'FT Fee'!I92</f>
        <v>0</v>
      </c>
      <c r="K240" s="448" t="str">
        <f>'FT Fee'!K94</f>
        <v/>
      </c>
      <c r="L240" s="448" t="str">
        <f>'FT Fee'!L94</f>
        <v>1a</v>
      </c>
      <c r="M240" s="449">
        <f>'FT Fee'!M94</f>
        <v>73</v>
      </c>
      <c r="N240" s="11">
        <f>'FT Fee'!N94</f>
        <v>0</v>
      </c>
      <c r="O240" s="11" t="str">
        <f>'FT Fee'!O94</f>
        <v>TEF</v>
      </c>
      <c r="P240" s="12" t="str">
        <f>'FT Fee'!O92</f>
        <v>TEF</v>
      </c>
      <c r="Q240" s="12" t="str">
        <f>'FT Fee'!P92</f>
        <v/>
      </c>
      <c r="R240" s="13" t="str">
        <f>'FT Fee'!Q92</f>
        <v>_TEF_</v>
      </c>
      <c r="S240" s="13" t="str">
        <f>'FT Fee'!R92</f>
        <v/>
      </c>
      <c r="T240" s="12" t="str">
        <f>'FT Fee'!S92</f>
        <v/>
      </c>
      <c r="U240" s="12" t="str">
        <f>'FT Fee'!T92</f>
        <v/>
      </c>
      <c r="V240" s="12" t="str">
        <f>'FT Fee'!U92</f>
        <v>NO</v>
      </c>
      <c r="W240" s="14" t="str">
        <f>'FT Fee'!V92</f>
        <v/>
      </c>
      <c r="X240" s="14" t="str">
        <f>'FT Fee'!W92</f>
        <v/>
      </c>
      <c r="Y240" s="14" t="str">
        <f>'FT Fee'!X92</f>
        <v/>
      </c>
      <c r="Z240" s="15" t="str">
        <f>'FT Fee'!Y92</f>
        <v/>
      </c>
    </row>
    <row r="241" spans="1:26" ht="12.75" hidden="1" customHeight="1" x14ac:dyDescent="0.2">
      <c r="A241" s="16">
        <f>'FT Fee'!A95</f>
        <v>74</v>
      </c>
      <c r="B241" s="447">
        <f>'FT Fee'!B95</f>
        <v>0</v>
      </c>
      <c r="C241" s="447"/>
      <c r="D241" s="447">
        <f>'FT Fee'!D95</f>
        <v>0</v>
      </c>
      <c r="E241" s="446">
        <f>'FT Fee'!D93</f>
        <v>0</v>
      </c>
      <c r="F241" s="11">
        <f>'FT Fee'!G93</f>
        <v>0</v>
      </c>
      <c r="G241" s="19">
        <f>'FT Fee'!H95</f>
        <v>0</v>
      </c>
      <c r="H241" s="456">
        <f>'FT Fee'!I95</f>
        <v>0</v>
      </c>
      <c r="I241" s="448"/>
      <c r="J241" s="455">
        <f>'FT Fee'!I93</f>
        <v>0</v>
      </c>
      <c r="K241" s="448" t="str">
        <f>'FT Fee'!K95</f>
        <v/>
      </c>
      <c r="L241" s="448" t="str">
        <f>'FT Fee'!L95</f>
        <v>1a</v>
      </c>
      <c r="M241" s="449">
        <f>'FT Fee'!M95</f>
        <v>74</v>
      </c>
      <c r="N241" s="19">
        <f>'FT Fee'!N95</f>
        <v>0</v>
      </c>
      <c r="O241" s="19" t="str">
        <f>'FT Fee'!O95</f>
        <v>TEF</v>
      </c>
      <c r="P241" s="12" t="str">
        <f>'FT Fee'!O93</f>
        <v>TEF</v>
      </c>
      <c r="Q241" s="12" t="str">
        <f>'FT Fee'!P93</f>
        <v/>
      </c>
      <c r="R241" s="13" t="str">
        <f>'FT Fee'!Q93</f>
        <v>_TEF_</v>
      </c>
      <c r="S241" s="13" t="str">
        <f>'FT Fee'!R93</f>
        <v/>
      </c>
      <c r="T241" s="12" t="str">
        <f>'FT Fee'!S93</f>
        <v/>
      </c>
      <c r="U241" s="12" t="str">
        <f>'FT Fee'!T93</f>
        <v/>
      </c>
      <c r="V241" s="12" t="str">
        <f>'FT Fee'!U93</f>
        <v>NO</v>
      </c>
      <c r="W241" s="14" t="str">
        <f>'FT Fee'!V93</f>
        <v/>
      </c>
      <c r="X241" s="14" t="str">
        <f>'FT Fee'!W93</f>
        <v/>
      </c>
      <c r="Y241" s="14" t="str">
        <f>'FT Fee'!X93</f>
        <v/>
      </c>
      <c r="Z241" s="15" t="str">
        <f>'FT Fee'!Y93</f>
        <v/>
      </c>
    </row>
    <row r="242" spans="1:26" ht="12.75" hidden="1" customHeight="1" x14ac:dyDescent="0.2">
      <c r="A242" s="16">
        <f>'FT Fee'!A96</f>
        <v>75</v>
      </c>
      <c r="B242" s="444">
        <f>'FT Fee'!B96</f>
        <v>0</v>
      </c>
      <c r="C242" s="444"/>
      <c r="D242" s="444">
        <f>'FT Fee'!D96</f>
        <v>0</v>
      </c>
      <c r="E242" s="446">
        <f>'FT Fee'!D94</f>
        <v>0</v>
      </c>
      <c r="F242" s="11">
        <f>'FT Fee'!G94</f>
        <v>0</v>
      </c>
      <c r="G242" s="20">
        <f>'FT Fee'!H96</f>
        <v>0</v>
      </c>
      <c r="H242" s="455">
        <f>'FT Fee'!I96</f>
        <v>0</v>
      </c>
      <c r="I242" s="445"/>
      <c r="J242" s="455">
        <f>'FT Fee'!I94</f>
        <v>0</v>
      </c>
      <c r="K242" s="445" t="str">
        <f>'FT Fee'!K96</f>
        <v/>
      </c>
      <c r="L242" s="445" t="str">
        <f>'FT Fee'!L96</f>
        <v>1a</v>
      </c>
      <c r="M242" s="446">
        <f>'FT Fee'!M96</f>
        <v>75</v>
      </c>
      <c r="N242" s="20">
        <f>'FT Fee'!N96</f>
        <v>0</v>
      </c>
      <c r="O242" s="20" t="str">
        <f>'FT Fee'!O96</f>
        <v>TEF</v>
      </c>
      <c r="P242" s="12" t="str">
        <f>'FT Fee'!O94</f>
        <v>TEF</v>
      </c>
      <c r="Q242" s="12" t="str">
        <f>'FT Fee'!P94</f>
        <v/>
      </c>
      <c r="R242" s="13" t="str">
        <f>'FT Fee'!Q94</f>
        <v>_TEF_</v>
      </c>
      <c r="S242" s="13" t="str">
        <f>'FT Fee'!R94</f>
        <v/>
      </c>
      <c r="T242" s="12" t="str">
        <f>'FT Fee'!S94</f>
        <v/>
      </c>
      <c r="U242" s="12" t="str">
        <f>'FT Fee'!T94</f>
        <v/>
      </c>
      <c r="V242" s="12" t="str">
        <f>'FT Fee'!U94</f>
        <v>NO</v>
      </c>
      <c r="W242" s="14" t="str">
        <f>'FT Fee'!V94</f>
        <v/>
      </c>
      <c r="X242" s="14" t="str">
        <f>'FT Fee'!W94</f>
        <v/>
      </c>
      <c r="Y242" s="14" t="str">
        <f>'FT Fee'!X94</f>
        <v/>
      </c>
      <c r="Z242" s="15" t="str">
        <f>'FT Fee'!Y94</f>
        <v/>
      </c>
    </row>
    <row r="243" spans="1:26" ht="12.75" hidden="1" customHeight="1" x14ac:dyDescent="0.2">
      <c r="A243" s="16">
        <f>'FT Fee'!A97</f>
        <v>76</v>
      </c>
      <c r="B243" s="447">
        <f>'FT Fee'!B97</f>
        <v>0</v>
      </c>
      <c r="C243" s="447"/>
      <c r="D243" s="447">
        <f>'FT Fee'!D97</f>
        <v>0</v>
      </c>
      <c r="E243" s="446">
        <f>'FT Fee'!D95</f>
        <v>0</v>
      </c>
      <c r="F243" s="11">
        <f>'FT Fee'!G95</f>
        <v>0</v>
      </c>
      <c r="G243" s="11">
        <f>'FT Fee'!H97</f>
        <v>0</v>
      </c>
      <c r="H243" s="456">
        <f>'FT Fee'!I97</f>
        <v>0</v>
      </c>
      <c r="I243" s="448"/>
      <c r="J243" s="455">
        <f>'FT Fee'!I95</f>
        <v>0</v>
      </c>
      <c r="K243" s="448" t="str">
        <f>'FT Fee'!K97</f>
        <v/>
      </c>
      <c r="L243" s="448" t="str">
        <f>'FT Fee'!L97</f>
        <v>1a</v>
      </c>
      <c r="M243" s="449">
        <f>'FT Fee'!M97</f>
        <v>76</v>
      </c>
      <c r="N243" s="11">
        <f>'FT Fee'!N97</f>
        <v>0</v>
      </c>
      <c r="O243" s="11" t="str">
        <f>'FT Fee'!O97</f>
        <v>TEF</v>
      </c>
      <c r="P243" s="12" t="str">
        <f>'FT Fee'!O95</f>
        <v>TEF</v>
      </c>
      <c r="Q243" s="12" t="str">
        <f>'FT Fee'!P95</f>
        <v/>
      </c>
      <c r="R243" s="13" t="str">
        <f>'FT Fee'!Q95</f>
        <v>_TEF_</v>
      </c>
      <c r="S243" s="13" t="str">
        <f>'FT Fee'!R95</f>
        <v/>
      </c>
      <c r="T243" s="12" t="str">
        <f>'FT Fee'!S95</f>
        <v/>
      </c>
      <c r="U243" s="12" t="str">
        <f>'FT Fee'!T95</f>
        <v/>
      </c>
      <c r="V243" s="12" t="str">
        <f>'FT Fee'!U95</f>
        <v>NO</v>
      </c>
      <c r="W243" s="14" t="str">
        <f>'FT Fee'!V95</f>
        <v/>
      </c>
      <c r="X243" s="14" t="str">
        <f>'FT Fee'!W95</f>
        <v/>
      </c>
      <c r="Y243" s="14" t="str">
        <f>'FT Fee'!X95</f>
        <v/>
      </c>
      <c r="Z243" s="15" t="str">
        <f>'FT Fee'!Y95</f>
        <v/>
      </c>
    </row>
    <row r="244" spans="1:26" ht="12.75" hidden="1" customHeight="1" x14ac:dyDescent="0.2">
      <c r="A244" s="16">
        <f>'FT Fee'!A98</f>
        <v>77</v>
      </c>
      <c r="B244" s="447">
        <f>'FT Fee'!B98</f>
        <v>0</v>
      </c>
      <c r="C244" s="447"/>
      <c r="D244" s="447">
        <f>'FT Fee'!D98</f>
        <v>0</v>
      </c>
      <c r="E244" s="446">
        <f>'FT Fee'!D96</f>
        <v>0</v>
      </c>
      <c r="F244" s="11">
        <f>'FT Fee'!G96</f>
        <v>0</v>
      </c>
      <c r="G244" s="11">
        <f>'FT Fee'!H98</f>
        <v>0</v>
      </c>
      <c r="H244" s="456">
        <f>'FT Fee'!I98</f>
        <v>0</v>
      </c>
      <c r="I244" s="448"/>
      <c r="J244" s="455">
        <f>'FT Fee'!I96</f>
        <v>0</v>
      </c>
      <c r="K244" s="448" t="str">
        <f>'FT Fee'!K98</f>
        <v/>
      </c>
      <c r="L244" s="448" t="str">
        <f>'FT Fee'!L98</f>
        <v>1a</v>
      </c>
      <c r="M244" s="449">
        <f>'FT Fee'!M98</f>
        <v>77</v>
      </c>
      <c r="N244" s="11">
        <f>'FT Fee'!N98</f>
        <v>0</v>
      </c>
      <c r="O244" s="11" t="str">
        <f>'FT Fee'!O98</f>
        <v>TEF</v>
      </c>
      <c r="P244" s="12" t="str">
        <f>'FT Fee'!O96</f>
        <v>TEF</v>
      </c>
      <c r="Q244" s="12" t="str">
        <f>'FT Fee'!P96</f>
        <v/>
      </c>
      <c r="R244" s="13" t="str">
        <f>'FT Fee'!Q96</f>
        <v>_TEF_</v>
      </c>
      <c r="S244" s="13" t="str">
        <f>'FT Fee'!R96</f>
        <v/>
      </c>
      <c r="T244" s="12" t="str">
        <f>'FT Fee'!S96</f>
        <v/>
      </c>
      <c r="U244" s="12" t="str">
        <f>'FT Fee'!T96</f>
        <v/>
      </c>
      <c r="V244" s="12" t="str">
        <f>'FT Fee'!U96</f>
        <v>NO</v>
      </c>
      <c r="W244" s="14" t="str">
        <f>'FT Fee'!V96</f>
        <v/>
      </c>
      <c r="X244" s="14" t="str">
        <f>'FT Fee'!W96</f>
        <v/>
      </c>
      <c r="Y244" s="14" t="str">
        <f>'FT Fee'!X96</f>
        <v/>
      </c>
      <c r="Z244" s="15" t="str">
        <f>'FT Fee'!Y96</f>
        <v/>
      </c>
    </row>
    <row r="245" spans="1:26" ht="12.75" hidden="1" customHeight="1" x14ac:dyDescent="0.2">
      <c r="A245" s="16">
        <f>'FT Fee'!A99</f>
        <v>78</v>
      </c>
      <c r="B245" s="447">
        <f>'FT Fee'!B99</f>
        <v>0</v>
      </c>
      <c r="C245" s="447"/>
      <c r="D245" s="447">
        <f>'FT Fee'!D99</f>
        <v>0</v>
      </c>
      <c r="E245" s="446">
        <f>'FT Fee'!D97</f>
        <v>0</v>
      </c>
      <c r="F245" s="11">
        <f>'FT Fee'!G97</f>
        <v>0</v>
      </c>
      <c r="G245" s="19">
        <f>'FT Fee'!H99</f>
        <v>0</v>
      </c>
      <c r="H245" s="456">
        <f>'FT Fee'!I99</f>
        <v>0</v>
      </c>
      <c r="I245" s="448"/>
      <c r="J245" s="455">
        <f>'FT Fee'!I97</f>
        <v>0</v>
      </c>
      <c r="K245" s="448" t="str">
        <f>'FT Fee'!K99</f>
        <v/>
      </c>
      <c r="L245" s="448" t="str">
        <f>'FT Fee'!L99</f>
        <v>1a</v>
      </c>
      <c r="M245" s="449">
        <f>'FT Fee'!M99</f>
        <v>78</v>
      </c>
      <c r="N245" s="19">
        <f>'FT Fee'!N99</f>
        <v>0</v>
      </c>
      <c r="O245" s="19" t="str">
        <f>'FT Fee'!O99</f>
        <v>TEF</v>
      </c>
      <c r="P245" s="12" t="str">
        <f>'FT Fee'!O97</f>
        <v>TEF</v>
      </c>
      <c r="Q245" s="12" t="str">
        <f>'FT Fee'!P97</f>
        <v/>
      </c>
      <c r="R245" s="13" t="str">
        <f>'FT Fee'!Q97</f>
        <v>_TEF_</v>
      </c>
      <c r="S245" s="13" t="str">
        <f>'FT Fee'!R97</f>
        <v/>
      </c>
      <c r="T245" s="12" t="str">
        <f>'FT Fee'!S97</f>
        <v/>
      </c>
      <c r="U245" s="12" t="str">
        <f>'FT Fee'!T97</f>
        <v/>
      </c>
      <c r="V245" s="12" t="str">
        <f>'FT Fee'!U97</f>
        <v>NO</v>
      </c>
      <c r="W245" s="14" t="str">
        <f>'FT Fee'!V97</f>
        <v/>
      </c>
      <c r="X245" s="14" t="str">
        <f>'FT Fee'!W97</f>
        <v/>
      </c>
      <c r="Y245" s="14" t="str">
        <f>'FT Fee'!X97</f>
        <v/>
      </c>
      <c r="Z245" s="15" t="str">
        <f>'FT Fee'!Y97</f>
        <v/>
      </c>
    </row>
    <row r="246" spans="1:26" ht="12.75" hidden="1" customHeight="1" x14ac:dyDescent="0.2">
      <c r="A246" s="16">
        <f>'FT Fee'!A100</f>
        <v>79</v>
      </c>
      <c r="B246" s="444">
        <f>'FT Fee'!B100</f>
        <v>0</v>
      </c>
      <c r="C246" s="444"/>
      <c r="D246" s="444">
        <f>'FT Fee'!D100</f>
        <v>0</v>
      </c>
      <c r="E246" s="446">
        <f>'FT Fee'!D98</f>
        <v>0</v>
      </c>
      <c r="F246" s="11">
        <f>'FT Fee'!G98</f>
        <v>0</v>
      </c>
      <c r="G246" s="20">
        <f>'FT Fee'!H100</f>
        <v>0</v>
      </c>
      <c r="H246" s="455">
        <f>'FT Fee'!I100</f>
        <v>0</v>
      </c>
      <c r="I246" s="445"/>
      <c r="J246" s="455">
        <f>'FT Fee'!I98</f>
        <v>0</v>
      </c>
      <c r="K246" s="445" t="str">
        <f>'FT Fee'!K100</f>
        <v/>
      </c>
      <c r="L246" s="445" t="str">
        <f>'FT Fee'!L100</f>
        <v>1a</v>
      </c>
      <c r="M246" s="446">
        <f>'FT Fee'!M100</f>
        <v>79</v>
      </c>
      <c r="N246" s="20">
        <f>'FT Fee'!N100</f>
        <v>0</v>
      </c>
      <c r="O246" s="20" t="str">
        <f>'FT Fee'!O100</f>
        <v>TEF</v>
      </c>
      <c r="P246" s="12" t="str">
        <f>'FT Fee'!O98</f>
        <v>TEF</v>
      </c>
      <c r="Q246" s="12" t="str">
        <f>'FT Fee'!P98</f>
        <v/>
      </c>
      <c r="R246" s="13" t="str">
        <f>'FT Fee'!Q98</f>
        <v>_TEF_</v>
      </c>
      <c r="S246" s="13" t="str">
        <f>'FT Fee'!R98</f>
        <v/>
      </c>
      <c r="T246" s="12" t="str">
        <f>'FT Fee'!S98</f>
        <v/>
      </c>
      <c r="U246" s="12" t="str">
        <f>'FT Fee'!T98</f>
        <v/>
      </c>
      <c r="V246" s="12" t="str">
        <f>'FT Fee'!U98</f>
        <v>NO</v>
      </c>
      <c r="W246" s="14" t="str">
        <f>'FT Fee'!V98</f>
        <v/>
      </c>
      <c r="X246" s="14" t="str">
        <f>'FT Fee'!W98</f>
        <v/>
      </c>
      <c r="Y246" s="14" t="str">
        <f>'FT Fee'!X98</f>
        <v/>
      </c>
      <c r="Z246" s="15" t="str">
        <f>'FT Fee'!Y98</f>
        <v/>
      </c>
    </row>
    <row r="247" spans="1:26" ht="12.75" hidden="1" customHeight="1" x14ac:dyDescent="0.2">
      <c r="A247" s="16">
        <f>'FT Fee'!A101</f>
        <v>80</v>
      </c>
      <c r="B247" s="447">
        <f>'FT Fee'!B101</f>
        <v>0</v>
      </c>
      <c r="C247" s="447"/>
      <c r="D247" s="447">
        <f>'FT Fee'!D101</f>
        <v>0</v>
      </c>
      <c r="E247" s="446">
        <f>'FT Fee'!D99</f>
        <v>0</v>
      </c>
      <c r="F247" s="11">
        <f>'FT Fee'!G99</f>
        <v>0</v>
      </c>
      <c r="G247" s="11">
        <f>'FT Fee'!H101</f>
        <v>0</v>
      </c>
      <c r="H247" s="456">
        <f>'FT Fee'!I101</f>
        <v>0</v>
      </c>
      <c r="I247" s="448"/>
      <c r="J247" s="455">
        <f>'FT Fee'!I99</f>
        <v>0</v>
      </c>
      <c r="K247" s="448" t="str">
        <f>'FT Fee'!K101</f>
        <v/>
      </c>
      <c r="L247" s="448" t="str">
        <f>'FT Fee'!L101</f>
        <v>1a</v>
      </c>
      <c r="M247" s="449">
        <f>'FT Fee'!M101</f>
        <v>80</v>
      </c>
      <c r="N247" s="11">
        <f>'FT Fee'!N101</f>
        <v>0</v>
      </c>
      <c r="O247" s="11" t="str">
        <f>'FT Fee'!O101</f>
        <v>TEF</v>
      </c>
      <c r="P247" s="12" t="str">
        <f>'FT Fee'!O99</f>
        <v>TEF</v>
      </c>
      <c r="Q247" s="12" t="str">
        <f>'FT Fee'!P99</f>
        <v/>
      </c>
      <c r="R247" s="13" t="str">
        <f>'FT Fee'!Q99</f>
        <v>_TEF_</v>
      </c>
      <c r="S247" s="13" t="str">
        <f>'FT Fee'!R99</f>
        <v/>
      </c>
      <c r="T247" s="12" t="str">
        <f>'FT Fee'!S99</f>
        <v/>
      </c>
      <c r="U247" s="12" t="str">
        <f>'FT Fee'!T99</f>
        <v/>
      </c>
      <c r="V247" s="12" t="str">
        <f>'FT Fee'!U99</f>
        <v>NO</v>
      </c>
      <c r="W247" s="14" t="str">
        <f>'FT Fee'!V99</f>
        <v/>
      </c>
      <c r="X247" s="14" t="str">
        <f>'FT Fee'!W99</f>
        <v/>
      </c>
      <c r="Y247" s="14" t="str">
        <f>'FT Fee'!X99</f>
        <v/>
      </c>
      <c r="Z247" s="15" t="str">
        <f>'FT Fee'!Y99</f>
        <v/>
      </c>
    </row>
    <row r="248" spans="1:26" ht="12.75" hidden="1" customHeight="1" x14ac:dyDescent="0.2">
      <c r="A248" s="16">
        <f>'FT Fee'!A102</f>
        <v>81</v>
      </c>
      <c r="B248" s="447">
        <f>'FT Fee'!B102</f>
        <v>0</v>
      </c>
      <c r="C248" s="447"/>
      <c r="D248" s="447">
        <f>'FT Fee'!D102</f>
        <v>0</v>
      </c>
      <c r="E248" s="446">
        <f>'FT Fee'!D100</f>
        <v>0</v>
      </c>
      <c r="F248" s="11">
        <f>'FT Fee'!G100</f>
        <v>0</v>
      </c>
      <c r="G248" s="11">
        <f>'FT Fee'!H102</f>
        <v>0</v>
      </c>
      <c r="H248" s="456">
        <f>'FT Fee'!I102</f>
        <v>0</v>
      </c>
      <c r="I248" s="448"/>
      <c r="J248" s="455">
        <f>'FT Fee'!I100</f>
        <v>0</v>
      </c>
      <c r="K248" s="448" t="str">
        <f>'FT Fee'!K102</f>
        <v/>
      </c>
      <c r="L248" s="448" t="str">
        <f>'FT Fee'!L102</f>
        <v>1a</v>
      </c>
      <c r="M248" s="449">
        <f>'FT Fee'!M102</f>
        <v>81</v>
      </c>
      <c r="N248" s="11">
        <f>'FT Fee'!N102</f>
        <v>0</v>
      </c>
      <c r="O248" s="11" t="str">
        <f>'FT Fee'!O102</f>
        <v>TEF</v>
      </c>
      <c r="P248" s="12" t="str">
        <f>'FT Fee'!O100</f>
        <v>TEF</v>
      </c>
      <c r="Q248" s="12" t="str">
        <f>'FT Fee'!P100</f>
        <v/>
      </c>
      <c r="R248" s="13" t="str">
        <f>'FT Fee'!Q100</f>
        <v>_TEF_</v>
      </c>
      <c r="S248" s="13" t="str">
        <f>'FT Fee'!R100</f>
        <v/>
      </c>
      <c r="T248" s="12" t="str">
        <f>'FT Fee'!S100</f>
        <v/>
      </c>
      <c r="U248" s="12" t="str">
        <f>'FT Fee'!T100</f>
        <v/>
      </c>
      <c r="V248" s="12" t="str">
        <f>'FT Fee'!U100</f>
        <v>NO</v>
      </c>
      <c r="W248" s="14" t="str">
        <f>'FT Fee'!V100</f>
        <v/>
      </c>
      <c r="X248" s="14" t="str">
        <f>'FT Fee'!W100</f>
        <v/>
      </c>
      <c r="Y248" s="14" t="str">
        <f>'FT Fee'!X100</f>
        <v/>
      </c>
      <c r="Z248" s="15" t="str">
        <f>'FT Fee'!Y100</f>
        <v/>
      </c>
    </row>
    <row r="249" spans="1:26" ht="12.75" hidden="1" customHeight="1" x14ac:dyDescent="0.2">
      <c r="A249" s="16">
        <f>'FT Fee'!A103</f>
        <v>82</v>
      </c>
      <c r="B249" s="447">
        <f>'FT Fee'!B103</f>
        <v>0</v>
      </c>
      <c r="C249" s="447"/>
      <c r="D249" s="447">
        <f>'FT Fee'!D103</f>
        <v>0</v>
      </c>
      <c r="E249" s="446">
        <f>'FT Fee'!D101</f>
        <v>0</v>
      </c>
      <c r="F249" s="11">
        <f>'FT Fee'!G101</f>
        <v>0</v>
      </c>
      <c r="G249" s="19">
        <f>'FT Fee'!H103</f>
        <v>0</v>
      </c>
      <c r="H249" s="456">
        <f>'FT Fee'!I103</f>
        <v>0</v>
      </c>
      <c r="I249" s="448"/>
      <c r="J249" s="455">
        <f>'FT Fee'!I101</f>
        <v>0</v>
      </c>
      <c r="K249" s="448" t="str">
        <f>'FT Fee'!K103</f>
        <v/>
      </c>
      <c r="L249" s="448" t="str">
        <f>'FT Fee'!L103</f>
        <v>1a</v>
      </c>
      <c r="M249" s="449">
        <f>'FT Fee'!M103</f>
        <v>82</v>
      </c>
      <c r="N249" s="19">
        <f>'FT Fee'!N103</f>
        <v>0</v>
      </c>
      <c r="O249" s="19" t="str">
        <f>'FT Fee'!O103</f>
        <v>TEF</v>
      </c>
      <c r="P249" s="12" t="str">
        <f>'FT Fee'!O101</f>
        <v>TEF</v>
      </c>
      <c r="Q249" s="12" t="str">
        <f>'FT Fee'!P101</f>
        <v/>
      </c>
      <c r="R249" s="13" t="str">
        <f>'FT Fee'!Q101</f>
        <v>_TEF_</v>
      </c>
      <c r="S249" s="13" t="str">
        <f>'FT Fee'!R101</f>
        <v/>
      </c>
      <c r="T249" s="12" t="str">
        <f>'FT Fee'!S101</f>
        <v/>
      </c>
      <c r="U249" s="12" t="str">
        <f>'FT Fee'!T101</f>
        <v/>
      </c>
      <c r="V249" s="12" t="str">
        <f>'FT Fee'!U101</f>
        <v>NO</v>
      </c>
      <c r="W249" s="14" t="str">
        <f>'FT Fee'!V101</f>
        <v/>
      </c>
      <c r="X249" s="14" t="str">
        <f>'FT Fee'!W101</f>
        <v/>
      </c>
      <c r="Y249" s="14" t="str">
        <f>'FT Fee'!X101</f>
        <v/>
      </c>
      <c r="Z249" s="15" t="str">
        <f>'FT Fee'!Y101</f>
        <v/>
      </c>
    </row>
    <row r="250" spans="1:26" ht="12.75" hidden="1" customHeight="1" x14ac:dyDescent="0.2">
      <c r="A250" s="16">
        <f>'FT Fee'!A104</f>
        <v>83</v>
      </c>
      <c r="B250" s="444">
        <f>'FT Fee'!B104</f>
        <v>0</v>
      </c>
      <c r="C250" s="444"/>
      <c r="D250" s="444">
        <f>'FT Fee'!D104</f>
        <v>0</v>
      </c>
      <c r="E250" s="446">
        <f>'FT Fee'!D102</f>
        <v>0</v>
      </c>
      <c r="F250" s="11">
        <f>'FT Fee'!G102</f>
        <v>0</v>
      </c>
      <c r="G250" s="20">
        <f>'FT Fee'!H104</f>
        <v>0</v>
      </c>
      <c r="H250" s="455">
        <f>'FT Fee'!I104</f>
        <v>0</v>
      </c>
      <c r="I250" s="445"/>
      <c r="J250" s="455">
        <f>'FT Fee'!I102</f>
        <v>0</v>
      </c>
      <c r="K250" s="445" t="str">
        <f>'FT Fee'!K104</f>
        <v/>
      </c>
      <c r="L250" s="445" t="str">
        <f>'FT Fee'!L104</f>
        <v>1a</v>
      </c>
      <c r="M250" s="446">
        <f>'FT Fee'!M104</f>
        <v>83</v>
      </c>
      <c r="N250" s="20">
        <f>'FT Fee'!N104</f>
        <v>0</v>
      </c>
      <c r="O250" s="20" t="str">
        <f>'FT Fee'!O104</f>
        <v>TEF</v>
      </c>
      <c r="P250" s="12" t="str">
        <f>'FT Fee'!O102</f>
        <v>TEF</v>
      </c>
      <c r="Q250" s="12" t="str">
        <f>'FT Fee'!P102</f>
        <v/>
      </c>
      <c r="R250" s="13" t="str">
        <f>'FT Fee'!Q102</f>
        <v>_TEF_</v>
      </c>
      <c r="S250" s="13" t="str">
        <f>'FT Fee'!R102</f>
        <v/>
      </c>
      <c r="T250" s="12" t="str">
        <f>'FT Fee'!S102</f>
        <v/>
      </c>
      <c r="U250" s="12" t="str">
        <f>'FT Fee'!T102</f>
        <v/>
      </c>
      <c r="V250" s="12" t="str">
        <f>'FT Fee'!U102</f>
        <v>NO</v>
      </c>
      <c r="W250" s="14" t="str">
        <f>'FT Fee'!V102</f>
        <v/>
      </c>
      <c r="X250" s="14" t="str">
        <f>'FT Fee'!W102</f>
        <v/>
      </c>
      <c r="Y250" s="14" t="str">
        <f>'FT Fee'!X102</f>
        <v/>
      </c>
      <c r="Z250" s="15" t="str">
        <f>'FT Fee'!Y102</f>
        <v/>
      </c>
    </row>
    <row r="251" spans="1:26" ht="12.75" hidden="1" customHeight="1" x14ac:dyDescent="0.2">
      <c r="A251" s="16">
        <f>'FT Fee'!A105</f>
        <v>84</v>
      </c>
      <c r="B251" s="447">
        <f>'FT Fee'!B105</f>
        <v>0</v>
      </c>
      <c r="C251" s="447"/>
      <c r="D251" s="447">
        <f>'FT Fee'!D105</f>
        <v>0</v>
      </c>
      <c r="E251" s="446">
        <f>'FT Fee'!D103</f>
        <v>0</v>
      </c>
      <c r="F251" s="11">
        <f>'FT Fee'!G103</f>
        <v>0</v>
      </c>
      <c r="G251" s="11">
        <f>'FT Fee'!H105</f>
        <v>0</v>
      </c>
      <c r="H251" s="456">
        <f>'FT Fee'!I105</f>
        <v>0</v>
      </c>
      <c r="I251" s="448"/>
      <c r="J251" s="455">
        <f>'FT Fee'!I103</f>
        <v>0</v>
      </c>
      <c r="K251" s="448" t="str">
        <f>'FT Fee'!K105</f>
        <v/>
      </c>
      <c r="L251" s="448" t="str">
        <f>'FT Fee'!L105</f>
        <v>1a</v>
      </c>
      <c r="M251" s="449">
        <f>'FT Fee'!M105</f>
        <v>84</v>
      </c>
      <c r="N251" s="11">
        <f>'FT Fee'!N105</f>
        <v>0</v>
      </c>
      <c r="O251" s="11" t="str">
        <f>'FT Fee'!O105</f>
        <v>TEF</v>
      </c>
      <c r="P251" s="12" t="str">
        <f>'FT Fee'!O103</f>
        <v>TEF</v>
      </c>
      <c r="Q251" s="12" t="str">
        <f>'FT Fee'!P103</f>
        <v/>
      </c>
      <c r="R251" s="13" t="str">
        <f>'FT Fee'!Q103</f>
        <v>_TEF_</v>
      </c>
      <c r="S251" s="13" t="str">
        <f>'FT Fee'!R103</f>
        <v/>
      </c>
      <c r="T251" s="12" t="str">
        <f>'FT Fee'!S103</f>
        <v/>
      </c>
      <c r="U251" s="12" t="str">
        <f>'FT Fee'!T103</f>
        <v/>
      </c>
      <c r="V251" s="12" t="str">
        <f>'FT Fee'!U103</f>
        <v>NO</v>
      </c>
      <c r="W251" s="14" t="str">
        <f>'FT Fee'!V103</f>
        <v/>
      </c>
      <c r="X251" s="14" t="str">
        <f>'FT Fee'!W103</f>
        <v/>
      </c>
      <c r="Y251" s="14" t="str">
        <f>'FT Fee'!X103</f>
        <v/>
      </c>
      <c r="Z251" s="15" t="str">
        <f>'FT Fee'!Y103</f>
        <v/>
      </c>
    </row>
    <row r="252" spans="1:26" ht="12.75" hidden="1" customHeight="1" x14ac:dyDescent="0.2">
      <c r="A252" s="16">
        <f>'FT Fee'!A106</f>
        <v>85</v>
      </c>
      <c r="B252" s="447">
        <f>'FT Fee'!B106</f>
        <v>0</v>
      </c>
      <c r="C252" s="447"/>
      <c r="D252" s="447">
        <f>'FT Fee'!D106</f>
        <v>0</v>
      </c>
      <c r="E252" s="446">
        <f>'FT Fee'!D104</f>
        <v>0</v>
      </c>
      <c r="F252" s="11">
        <f>'FT Fee'!G104</f>
        <v>0</v>
      </c>
      <c r="G252" s="11">
        <f>'FT Fee'!H106</f>
        <v>0</v>
      </c>
      <c r="H252" s="456">
        <f>'FT Fee'!I106</f>
        <v>0</v>
      </c>
      <c r="I252" s="448"/>
      <c r="J252" s="455">
        <f>'FT Fee'!I104</f>
        <v>0</v>
      </c>
      <c r="K252" s="448" t="str">
        <f>'FT Fee'!K106</f>
        <v/>
      </c>
      <c r="L252" s="448" t="str">
        <f>'FT Fee'!L106</f>
        <v>1a</v>
      </c>
      <c r="M252" s="449">
        <f>'FT Fee'!M106</f>
        <v>85</v>
      </c>
      <c r="N252" s="11">
        <f>'FT Fee'!N106</f>
        <v>0</v>
      </c>
      <c r="O252" s="11" t="str">
        <f>'FT Fee'!O106</f>
        <v>TEF</v>
      </c>
      <c r="P252" s="12" t="str">
        <f>'FT Fee'!O104</f>
        <v>TEF</v>
      </c>
      <c r="Q252" s="12" t="str">
        <f>'FT Fee'!P104</f>
        <v/>
      </c>
      <c r="R252" s="13" t="str">
        <f>'FT Fee'!Q104</f>
        <v>_TEF_</v>
      </c>
      <c r="S252" s="13" t="str">
        <f>'FT Fee'!R104</f>
        <v/>
      </c>
      <c r="T252" s="12" t="str">
        <f>'FT Fee'!S104</f>
        <v/>
      </c>
      <c r="U252" s="12" t="str">
        <f>'FT Fee'!T104</f>
        <v/>
      </c>
      <c r="V252" s="12" t="str">
        <f>'FT Fee'!U104</f>
        <v>NO</v>
      </c>
      <c r="W252" s="14" t="str">
        <f>'FT Fee'!V104</f>
        <v/>
      </c>
      <c r="X252" s="14" t="str">
        <f>'FT Fee'!W104</f>
        <v/>
      </c>
      <c r="Y252" s="14" t="str">
        <f>'FT Fee'!X104</f>
        <v/>
      </c>
      <c r="Z252" s="15" t="str">
        <f>'FT Fee'!Y104</f>
        <v/>
      </c>
    </row>
    <row r="253" spans="1:26" ht="12.75" hidden="1" customHeight="1" x14ac:dyDescent="0.2">
      <c r="A253" s="16">
        <f>'FT Fee'!A107</f>
        <v>86</v>
      </c>
      <c r="B253" s="447">
        <f>'FT Fee'!B107</f>
        <v>0</v>
      </c>
      <c r="C253" s="447"/>
      <c r="D253" s="447">
        <f>'FT Fee'!D107</f>
        <v>0</v>
      </c>
      <c r="E253" s="446">
        <f>'FT Fee'!D105</f>
        <v>0</v>
      </c>
      <c r="F253" s="11">
        <f>'FT Fee'!G105</f>
        <v>0</v>
      </c>
      <c r="G253" s="19">
        <f>'FT Fee'!H107</f>
        <v>0</v>
      </c>
      <c r="H253" s="456">
        <f>'FT Fee'!I107</f>
        <v>0</v>
      </c>
      <c r="I253" s="448"/>
      <c r="J253" s="455">
        <f>'FT Fee'!I105</f>
        <v>0</v>
      </c>
      <c r="K253" s="448" t="str">
        <f>'FT Fee'!K107</f>
        <v/>
      </c>
      <c r="L253" s="448" t="str">
        <f>'FT Fee'!L107</f>
        <v>1a</v>
      </c>
      <c r="M253" s="449">
        <f>'FT Fee'!M107</f>
        <v>86</v>
      </c>
      <c r="N253" s="19">
        <f>'FT Fee'!N107</f>
        <v>0</v>
      </c>
      <c r="O253" s="19" t="str">
        <f>'FT Fee'!O107</f>
        <v>TEF</v>
      </c>
      <c r="P253" s="12" t="str">
        <f>'FT Fee'!O105</f>
        <v>TEF</v>
      </c>
      <c r="Q253" s="12" t="str">
        <f>'FT Fee'!P105</f>
        <v/>
      </c>
      <c r="R253" s="13" t="str">
        <f>'FT Fee'!Q105</f>
        <v>_TEF_</v>
      </c>
      <c r="S253" s="13" t="str">
        <f>'FT Fee'!R105</f>
        <v/>
      </c>
      <c r="T253" s="12" t="str">
        <f>'FT Fee'!S105</f>
        <v/>
      </c>
      <c r="U253" s="12" t="str">
        <f>'FT Fee'!T105</f>
        <v/>
      </c>
      <c r="V253" s="12" t="str">
        <f>'FT Fee'!U105</f>
        <v>NO</v>
      </c>
      <c r="W253" s="14" t="str">
        <f>'FT Fee'!V105</f>
        <v/>
      </c>
      <c r="X253" s="14" t="str">
        <f>'FT Fee'!W105</f>
        <v/>
      </c>
      <c r="Y253" s="14" t="str">
        <f>'FT Fee'!X105</f>
        <v/>
      </c>
      <c r="Z253" s="15" t="str">
        <f>'FT Fee'!Y105</f>
        <v/>
      </c>
    </row>
    <row r="254" spans="1:26" ht="12.75" hidden="1" customHeight="1" x14ac:dyDescent="0.2">
      <c r="A254" s="16">
        <f>'FT Fee'!A108</f>
        <v>87</v>
      </c>
      <c r="B254" s="444">
        <f>'FT Fee'!B108</f>
        <v>0</v>
      </c>
      <c r="C254" s="444"/>
      <c r="D254" s="444">
        <f>'FT Fee'!D108</f>
        <v>0</v>
      </c>
      <c r="E254" s="446">
        <f>'FT Fee'!D106</f>
        <v>0</v>
      </c>
      <c r="F254" s="11">
        <f>'FT Fee'!G106</f>
        <v>0</v>
      </c>
      <c r="G254" s="20">
        <f>'FT Fee'!H108</f>
        <v>0</v>
      </c>
      <c r="H254" s="455">
        <f>'FT Fee'!I108</f>
        <v>0</v>
      </c>
      <c r="I254" s="445"/>
      <c r="J254" s="455">
        <f>'FT Fee'!I106</f>
        <v>0</v>
      </c>
      <c r="K254" s="445" t="str">
        <f>'FT Fee'!K108</f>
        <v/>
      </c>
      <c r="L254" s="445" t="str">
        <f>'FT Fee'!L108</f>
        <v>1a</v>
      </c>
      <c r="M254" s="446">
        <f>'FT Fee'!M108</f>
        <v>87</v>
      </c>
      <c r="N254" s="20">
        <f>'FT Fee'!N108</f>
        <v>0</v>
      </c>
      <c r="O254" s="20" t="str">
        <f>'FT Fee'!O108</f>
        <v>TEF</v>
      </c>
      <c r="P254" s="12" t="str">
        <f>'FT Fee'!O106</f>
        <v>TEF</v>
      </c>
      <c r="Q254" s="12" t="str">
        <f>'FT Fee'!P106</f>
        <v/>
      </c>
      <c r="R254" s="13" t="str">
        <f>'FT Fee'!Q106</f>
        <v>_TEF_</v>
      </c>
      <c r="S254" s="13" t="str">
        <f>'FT Fee'!R106</f>
        <v/>
      </c>
      <c r="T254" s="12" t="str">
        <f>'FT Fee'!S106</f>
        <v/>
      </c>
      <c r="U254" s="12" t="str">
        <f>'FT Fee'!T106</f>
        <v/>
      </c>
      <c r="V254" s="12" t="str">
        <f>'FT Fee'!U106</f>
        <v>NO</v>
      </c>
      <c r="W254" s="14" t="str">
        <f>'FT Fee'!V106</f>
        <v/>
      </c>
      <c r="X254" s="14" t="str">
        <f>'FT Fee'!W106</f>
        <v/>
      </c>
      <c r="Y254" s="14" t="str">
        <f>'FT Fee'!X106</f>
        <v/>
      </c>
      <c r="Z254" s="15" t="str">
        <f>'FT Fee'!Y106</f>
        <v/>
      </c>
    </row>
    <row r="255" spans="1:26" ht="12.75" hidden="1" customHeight="1" x14ac:dyDescent="0.2">
      <c r="A255" s="16">
        <f>'FT Fee'!A109</f>
        <v>88</v>
      </c>
      <c r="B255" s="447">
        <f>'FT Fee'!B109</f>
        <v>0</v>
      </c>
      <c r="C255" s="447"/>
      <c r="D255" s="447">
        <f>'FT Fee'!D109</f>
        <v>0</v>
      </c>
      <c r="E255" s="446">
        <f>'FT Fee'!D107</f>
        <v>0</v>
      </c>
      <c r="F255" s="11">
        <f>'FT Fee'!G107</f>
        <v>0</v>
      </c>
      <c r="G255" s="11">
        <f>'FT Fee'!H109</f>
        <v>0</v>
      </c>
      <c r="H255" s="456">
        <f>'FT Fee'!I109</f>
        <v>0</v>
      </c>
      <c r="I255" s="448"/>
      <c r="J255" s="455">
        <f>'FT Fee'!I107</f>
        <v>0</v>
      </c>
      <c r="K255" s="448" t="str">
        <f>'FT Fee'!K109</f>
        <v/>
      </c>
      <c r="L255" s="448" t="str">
        <f>'FT Fee'!L109</f>
        <v>1a</v>
      </c>
      <c r="M255" s="449">
        <f>'FT Fee'!M109</f>
        <v>88</v>
      </c>
      <c r="N255" s="11">
        <f>'FT Fee'!N109</f>
        <v>0</v>
      </c>
      <c r="O255" s="11" t="str">
        <f>'FT Fee'!O109</f>
        <v>TEF</v>
      </c>
      <c r="P255" s="12" t="str">
        <f>'FT Fee'!O107</f>
        <v>TEF</v>
      </c>
      <c r="Q255" s="12" t="str">
        <f>'FT Fee'!P107</f>
        <v/>
      </c>
      <c r="R255" s="13" t="str">
        <f>'FT Fee'!Q107</f>
        <v>_TEF_</v>
      </c>
      <c r="S255" s="13" t="str">
        <f>'FT Fee'!R107</f>
        <v/>
      </c>
      <c r="T255" s="12" t="str">
        <f>'FT Fee'!S107</f>
        <v/>
      </c>
      <c r="U255" s="12" t="str">
        <f>'FT Fee'!T107</f>
        <v/>
      </c>
      <c r="V255" s="12" t="str">
        <f>'FT Fee'!U107</f>
        <v>NO</v>
      </c>
      <c r="W255" s="14" t="str">
        <f>'FT Fee'!V107</f>
        <v/>
      </c>
      <c r="X255" s="14" t="str">
        <f>'FT Fee'!W107</f>
        <v/>
      </c>
      <c r="Y255" s="14" t="str">
        <f>'FT Fee'!X107</f>
        <v/>
      </c>
      <c r="Z255" s="15" t="str">
        <f>'FT Fee'!Y107</f>
        <v/>
      </c>
    </row>
    <row r="256" spans="1:26" ht="12.75" hidden="1" customHeight="1" x14ac:dyDescent="0.2">
      <c r="A256" s="16">
        <f>'FT Fee'!A110</f>
        <v>89</v>
      </c>
      <c r="B256" s="447">
        <f>'FT Fee'!B110</f>
        <v>0</v>
      </c>
      <c r="C256" s="447"/>
      <c r="D256" s="447">
        <f>'FT Fee'!D110</f>
        <v>0</v>
      </c>
      <c r="E256" s="446">
        <f>'FT Fee'!D108</f>
        <v>0</v>
      </c>
      <c r="F256" s="11">
        <f>'FT Fee'!G108</f>
        <v>0</v>
      </c>
      <c r="G256" s="11">
        <f>'FT Fee'!H110</f>
        <v>0</v>
      </c>
      <c r="H256" s="456">
        <f>'FT Fee'!I110</f>
        <v>0</v>
      </c>
      <c r="I256" s="448"/>
      <c r="J256" s="455">
        <f>'FT Fee'!I108</f>
        <v>0</v>
      </c>
      <c r="K256" s="448" t="str">
        <f>'FT Fee'!K110</f>
        <v/>
      </c>
      <c r="L256" s="448" t="str">
        <f>'FT Fee'!L110</f>
        <v>1a</v>
      </c>
      <c r="M256" s="449">
        <f>'FT Fee'!M110</f>
        <v>89</v>
      </c>
      <c r="N256" s="11">
        <f>'FT Fee'!N110</f>
        <v>0</v>
      </c>
      <c r="O256" s="11" t="str">
        <f>'FT Fee'!O110</f>
        <v>TEF</v>
      </c>
      <c r="P256" s="12" t="str">
        <f>'FT Fee'!O108</f>
        <v>TEF</v>
      </c>
      <c r="Q256" s="12" t="str">
        <f>'FT Fee'!P108</f>
        <v/>
      </c>
      <c r="R256" s="13" t="str">
        <f>'FT Fee'!Q108</f>
        <v>_TEF_</v>
      </c>
      <c r="S256" s="13" t="str">
        <f>'FT Fee'!R108</f>
        <v/>
      </c>
      <c r="T256" s="12" t="str">
        <f>'FT Fee'!S108</f>
        <v/>
      </c>
      <c r="U256" s="12" t="str">
        <f>'FT Fee'!T108</f>
        <v/>
      </c>
      <c r="V256" s="12" t="str">
        <f>'FT Fee'!U108</f>
        <v>NO</v>
      </c>
      <c r="W256" s="14" t="str">
        <f>'FT Fee'!V108</f>
        <v/>
      </c>
      <c r="X256" s="14" t="str">
        <f>'FT Fee'!W108</f>
        <v/>
      </c>
      <c r="Y256" s="14" t="str">
        <f>'FT Fee'!X108</f>
        <v/>
      </c>
      <c r="Z256" s="15" t="str">
        <f>'FT Fee'!Y108</f>
        <v/>
      </c>
    </row>
    <row r="257" spans="1:26" ht="12.75" hidden="1" customHeight="1" x14ac:dyDescent="0.2">
      <c r="A257" s="16">
        <f>'FT Fee'!A111</f>
        <v>90</v>
      </c>
      <c r="B257" s="447">
        <f>'FT Fee'!B111</f>
        <v>0</v>
      </c>
      <c r="C257" s="447"/>
      <c r="D257" s="447">
        <f>'FT Fee'!D111</f>
        <v>0</v>
      </c>
      <c r="E257" s="446">
        <f>'FT Fee'!D109</f>
        <v>0</v>
      </c>
      <c r="F257" s="11">
        <f>'FT Fee'!G109</f>
        <v>0</v>
      </c>
      <c r="G257" s="19">
        <f>'FT Fee'!H111</f>
        <v>0</v>
      </c>
      <c r="H257" s="456">
        <f>'FT Fee'!I111</f>
        <v>0</v>
      </c>
      <c r="I257" s="448"/>
      <c r="J257" s="455">
        <f>'FT Fee'!I109</f>
        <v>0</v>
      </c>
      <c r="K257" s="448" t="str">
        <f>'FT Fee'!K111</f>
        <v/>
      </c>
      <c r="L257" s="448" t="str">
        <f>'FT Fee'!L111</f>
        <v>1a</v>
      </c>
      <c r="M257" s="449">
        <f>'FT Fee'!M111</f>
        <v>90</v>
      </c>
      <c r="N257" s="19">
        <f>'FT Fee'!N111</f>
        <v>0</v>
      </c>
      <c r="O257" s="19" t="str">
        <f>'FT Fee'!O111</f>
        <v>TEF</v>
      </c>
      <c r="P257" s="12" t="str">
        <f>'FT Fee'!O109</f>
        <v>TEF</v>
      </c>
      <c r="Q257" s="12" t="str">
        <f>'FT Fee'!P109</f>
        <v/>
      </c>
      <c r="R257" s="13" t="str">
        <f>'FT Fee'!Q109</f>
        <v>_TEF_</v>
      </c>
      <c r="S257" s="13" t="str">
        <f>'FT Fee'!R109</f>
        <v/>
      </c>
      <c r="T257" s="12" t="str">
        <f>'FT Fee'!S109</f>
        <v/>
      </c>
      <c r="U257" s="12" t="str">
        <f>'FT Fee'!T109</f>
        <v/>
      </c>
      <c r="V257" s="12" t="str">
        <f>'FT Fee'!U109</f>
        <v>NO</v>
      </c>
      <c r="W257" s="14" t="str">
        <f>'FT Fee'!V109</f>
        <v/>
      </c>
      <c r="X257" s="14" t="str">
        <f>'FT Fee'!W109</f>
        <v/>
      </c>
      <c r="Y257" s="14" t="str">
        <f>'FT Fee'!X109</f>
        <v/>
      </c>
      <c r="Z257" s="15" t="str">
        <f>'FT Fee'!Y109</f>
        <v/>
      </c>
    </row>
    <row r="258" spans="1:26" ht="12.75" hidden="1" customHeight="1" x14ac:dyDescent="0.2">
      <c r="A258" s="16">
        <f>'FT Fee'!A112</f>
        <v>91</v>
      </c>
      <c r="B258" s="444">
        <f>'FT Fee'!B112</f>
        <v>0</v>
      </c>
      <c r="C258" s="444"/>
      <c r="D258" s="444">
        <f>'FT Fee'!D112</f>
        <v>0</v>
      </c>
      <c r="E258" s="446">
        <f>'FT Fee'!D110</f>
        <v>0</v>
      </c>
      <c r="F258" s="11">
        <f>'FT Fee'!G110</f>
        <v>0</v>
      </c>
      <c r="G258" s="20">
        <f>'FT Fee'!H112</f>
        <v>0</v>
      </c>
      <c r="H258" s="455">
        <f>'FT Fee'!I112</f>
        <v>0</v>
      </c>
      <c r="I258" s="445"/>
      <c r="J258" s="455">
        <f>'FT Fee'!I110</f>
        <v>0</v>
      </c>
      <c r="K258" s="445" t="str">
        <f>'FT Fee'!K112</f>
        <v/>
      </c>
      <c r="L258" s="445" t="str">
        <f>'FT Fee'!L112</f>
        <v>1a</v>
      </c>
      <c r="M258" s="446">
        <f>'FT Fee'!M112</f>
        <v>91</v>
      </c>
      <c r="N258" s="20">
        <f>'FT Fee'!N112</f>
        <v>0</v>
      </c>
      <c r="O258" s="20" t="str">
        <f>'FT Fee'!O112</f>
        <v>TEF</v>
      </c>
      <c r="P258" s="12" t="str">
        <f>'FT Fee'!O110</f>
        <v>TEF</v>
      </c>
      <c r="Q258" s="12" t="str">
        <f>'FT Fee'!P110</f>
        <v/>
      </c>
      <c r="R258" s="13" t="str">
        <f>'FT Fee'!Q110</f>
        <v>_TEF_</v>
      </c>
      <c r="S258" s="13" t="str">
        <f>'FT Fee'!R110</f>
        <v/>
      </c>
      <c r="T258" s="12" t="str">
        <f>'FT Fee'!S110</f>
        <v/>
      </c>
      <c r="U258" s="12" t="str">
        <f>'FT Fee'!T110</f>
        <v/>
      </c>
      <c r="V258" s="12" t="str">
        <f>'FT Fee'!U110</f>
        <v>NO</v>
      </c>
      <c r="W258" s="14" t="str">
        <f>'FT Fee'!V110</f>
        <v/>
      </c>
      <c r="X258" s="14" t="str">
        <f>'FT Fee'!W110</f>
        <v/>
      </c>
      <c r="Y258" s="14" t="str">
        <f>'FT Fee'!X110</f>
        <v/>
      </c>
      <c r="Z258" s="15" t="str">
        <f>'FT Fee'!Y110</f>
        <v/>
      </c>
    </row>
    <row r="259" spans="1:26" hidden="1" x14ac:dyDescent="0.2">
      <c r="A259" s="16">
        <f>'FT Fee'!A113</f>
        <v>92</v>
      </c>
      <c r="B259" s="447">
        <f>'FT Fee'!B113</f>
        <v>0</v>
      </c>
      <c r="C259" s="447"/>
      <c r="D259" s="447">
        <f>'FT Fee'!D113</f>
        <v>0</v>
      </c>
      <c r="E259" s="446">
        <f>'FT Fee'!D111</f>
        <v>0</v>
      </c>
      <c r="F259" s="11">
        <f>'FT Fee'!G111</f>
        <v>0</v>
      </c>
      <c r="G259" s="11">
        <f>'FT Fee'!H113</f>
        <v>0</v>
      </c>
      <c r="H259" s="456">
        <f>'FT Fee'!I113</f>
        <v>0</v>
      </c>
      <c r="I259" s="448"/>
      <c r="J259" s="455">
        <f>'FT Fee'!I111</f>
        <v>0</v>
      </c>
      <c r="K259" s="448" t="str">
        <f>'FT Fee'!K113</f>
        <v/>
      </c>
      <c r="L259" s="448" t="str">
        <f>'FT Fee'!L113</f>
        <v>1a</v>
      </c>
      <c r="M259" s="449">
        <f>'FT Fee'!M113</f>
        <v>92</v>
      </c>
      <c r="N259" s="11">
        <f>'FT Fee'!N113</f>
        <v>0</v>
      </c>
      <c r="O259" s="11" t="str">
        <f>'FT Fee'!O113</f>
        <v>TEF</v>
      </c>
      <c r="P259" s="12" t="str">
        <f>'FT Fee'!O111</f>
        <v>TEF</v>
      </c>
      <c r="Q259" s="12" t="str">
        <f>'FT Fee'!P111</f>
        <v/>
      </c>
      <c r="R259" s="13" t="str">
        <f>'FT Fee'!Q111</f>
        <v>_TEF_</v>
      </c>
      <c r="S259" s="13" t="str">
        <f>'FT Fee'!R111</f>
        <v/>
      </c>
      <c r="T259" s="12" t="str">
        <f>'FT Fee'!S111</f>
        <v/>
      </c>
      <c r="U259" s="12" t="str">
        <f>'FT Fee'!T111</f>
        <v/>
      </c>
      <c r="V259" s="12" t="str">
        <f>'FT Fee'!U111</f>
        <v>NO</v>
      </c>
      <c r="W259" s="14" t="str">
        <f>'FT Fee'!V111</f>
        <v/>
      </c>
      <c r="X259" s="14" t="str">
        <f>'FT Fee'!W111</f>
        <v/>
      </c>
      <c r="Y259" s="14" t="str">
        <f>'FT Fee'!X111</f>
        <v/>
      </c>
      <c r="Z259" s="15" t="str">
        <f>'FT Fee'!Y111</f>
        <v/>
      </c>
    </row>
    <row r="260" spans="1:26" hidden="1" x14ac:dyDescent="0.2">
      <c r="A260" s="16">
        <f>'FT Fee'!A114</f>
        <v>93</v>
      </c>
      <c r="B260" s="447">
        <f>'FT Fee'!B114</f>
        <v>0</v>
      </c>
      <c r="C260" s="447"/>
      <c r="D260" s="447">
        <f>'FT Fee'!D114</f>
        <v>0</v>
      </c>
      <c r="E260" s="446">
        <f>'FT Fee'!D112</f>
        <v>0</v>
      </c>
      <c r="F260" s="11">
        <f>'FT Fee'!G112</f>
        <v>0</v>
      </c>
      <c r="G260" s="11">
        <f>'FT Fee'!H114</f>
        <v>0</v>
      </c>
      <c r="H260" s="456">
        <f>'FT Fee'!I114</f>
        <v>0</v>
      </c>
      <c r="I260" s="448"/>
      <c r="J260" s="455">
        <f>'FT Fee'!I112</f>
        <v>0</v>
      </c>
      <c r="K260" s="448" t="str">
        <f>'FT Fee'!K114</f>
        <v/>
      </c>
      <c r="L260" s="448" t="str">
        <f>'FT Fee'!L114</f>
        <v>1a</v>
      </c>
      <c r="M260" s="449">
        <f>'FT Fee'!M114</f>
        <v>93</v>
      </c>
      <c r="N260" s="11">
        <f>'FT Fee'!N114</f>
        <v>0</v>
      </c>
      <c r="O260" s="11" t="str">
        <f>'FT Fee'!O114</f>
        <v>TEF</v>
      </c>
      <c r="P260" s="12" t="str">
        <f>'FT Fee'!O112</f>
        <v>TEF</v>
      </c>
      <c r="Q260" s="12" t="str">
        <f>'FT Fee'!P112</f>
        <v/>
      </c>
      <c r="R260" s="13" t="str">
        <f>'FT Fee'!Q112</f>
        <v>_TEF_</v>
      </c>
      <c r="S260" s="13" t="str">
        <f>'FT Fee'!R112</f>
        <v/>
      </c>
      <c r="T260" s="12" t="str">
        <f>'FT Fee'!S112</f>
        <v/>
      </c>
      <c r="U260" s="12" t="str">
        <f>'FT Fee'!T112</f>
        <v/>
      </c>
      <c r="V260" s="12" t="str">
        <f>'FT Fee'!U112</f>
        <v>NO</v>
      </c>
      <c r="W260" s="14" t="str">
        <f>'FT Fee'!V112</f>
        <v/>
      </c>
      <c r="X260" s="14" t="str">
        <f>'FT Fee'!W112</f>
        <v/>
      </c>
      <c r="Y260" s="14" t="str">
        <f>'FT Fee'!X112</f>
        <v/>
      </c>
      <c r="Z260" s="15" t="str">
        <f>'FT Fee'!Y112</f>
        <v/>
      </c>
    </row>
    <row r="261" spans="1:26" hidden="1" x14ac:dyDescent="0.2">
      <c r="A261" s="16">
        <f>'FT Fee'!A115</f>
        <v>94</v>
      </c>
      <c r="B261" s="447">
        <f>'FT Fee'!B115</f>
        <v>0</v>
      </c>
      <c r="C261" s="447"/>
      <c r="D261" s="447">
        <f>'FT Fee'!D115</f>
        <v>0</v>
      </c>
      <c r="E261" s="446">
        <f>'FT Fee'!D113</f>
        <v>0</v>
      </c>
      <c r="F261" s="11">
        <f>'FT Fee'!G113</f>
        <v>0</v>
      </c>
      <c r="G261" s="19">
        <f>'FT Fee'!H115</f>
        <v>0</v>
      </c>
      <c r="H261" s="456">
        <f>'FT Fee'!I115</f>
        <v>0</v>
      </c>
      <c r="I261" s="448"/>
      <c r="J261" s="455">
        <f>'FT Fee'!I113</f>
        <v>0</v>
      </c>
      <c r="K261" s="448" t="str">
        <f>'FT Fee'!K115</f>
        <v/>
      </c>
      <c r="L261" s="448" t="str">
        <f>'FT Fee'!L115</f>
        <v>1a</v>
      </c>
      <c r="M261" s="449">
        <f>'FT Fee'!M115</f>
        <v>94</v>
      </c>
      <c r="N261" s="19">
        <f>'FT Fee'!N115</f>
        <v>0</v>
      </c>
      <c r="O261" s="19" t="str">
        <f>'FT Fee'!O115</f>
        <v>TEF</v>
      </c>
      <c r="P261" s="12" t="str">
        <f>'FT Fee'!O113</f>
        <v>TEF</v>
      </c>
      <c r="Q261" s="12" t="str">
        <f>'FT Fee'!P113</f>
        <v/>
      </c>
      <c r="R261" s="13" t="str">
        <f>'FT Fee'!Q113</f>
        <v>_TEF_</v>
      </c>
      <c r="S261" s="13" t="str">
        <f>'FT Fee'!R113</f>
        <v/>
      </c>
      <c r="T261" s="12" t="str">
        <f>'FT Fee'!S113</f>
        <v/>
      </c>
      <c r="U261" s="12" t="str">
        <f>'FT Fee'!T113</f>
        <v/>
      </c>
      <c r="V261" s="12" t="str">
        <f>'FT Fee'!U113</f>
        <v>NO</v>
      </c>
      <c r="W261" s="14" t="str">
        <f>'FT Fee'!V113</f>
        <v/>
      </c>
      <c r="X261" s="14" t="str">
        <f>'FT Fee'!W113</f>
        <v/>
      </c>
      <c r="Y261" s="14" t="str">
        <f>'FT Fee'!X113</f>
        <v/>
      </c>
      <c r="Z261" s="15" t="str">
        <f>'FT Fee'!Y113</f>
        <v/>
      </c>
    </row>
    <row r="262" spans="1:26" hidden="1" x14ac:dyDescent="0.2">
      <c r="A262" s="16">
        <f>'FT Fee'!A116</f>
        <v>95</v>
      </c>
      <c r="B262" s="444">
        <f>'FT Fee'!B116</f>
        <v>0</v>
      </c>
      <c r="C262" s="444"/>
      <c r="D262" s="444">
        <f>'FT Fee'!D116</f>
        <v>0</v>
      </c>
      <c r="E262" s="446">
        <f>'FT Fee'!D114</f>
        <v>0</v>
      </c>
      <c r="F262" s="11">
        <f>'FT Fee'!G114</f>
        <v>0</v>
      </c>
      <c r="G262" s="20">
        <f>'FT Fee'!H116</f>
        <v>0</v>
      </c>
      <c r="H262" s="455">
        <f>'FT Fee'!I116</f>
        <v>0</v>
      </c>
      <c r="I262" s="445"/>
      <c r="J262" s="455">
        <f>'FT Fee'!I114</f>
        <v>0</v>
      </c>
      <c r="K262" s="445" t="str">
        <f>'FT Fee'!K116</f>
        <v/>
      </c>
      <c r="L262" s="445" t="str">
        <f>'FT Fee'!L116</f>
        <v>1a</v>
      </c>
      <c r="M262" s="446">
        <f>'FT Fee'!M116</f>
        <v>95</v>
      </c>
      <c r="N262" s="20">
        <f>'FT Fee'!N116</f>
        <v>0</v>
      </c>
      <c r="O262" s="20" t="str">
        <f>'FT Fee'!O116</f>
        <v>TEF</v>
      </c>
      <c r="P262" s="12" t="str">
        <f>'FT Fee'!O114</f>
        <v>TEF</v>
      </c>
      <c r="Q262" s="12" t="str">
        <f>'FT Fee'!P114</f>
        <v/>
      </c>
      <c r="R262" s="13" t="str">
        <f>'FT Fee'!Q114</f>
        <v>_TEF_</v>
      </c>
      <c r="S262" s="13" t="str">
        <f>'FT Fee'!R114</f>
        <v/>
      </c>
      <c r="T262" s="12" t="str">
        <f>'FT Fee'!S114</f>
        <v/>
      </c>
      <c r="U262" s="12" t="str">
        <f>'FT Fee'!T114</f>
        <v/>
      </c>
      <c r="V262" s="12" t="str">
        <f>'FT Fee'!U114</f>
        <v>NO</v>
      </c>
      <c r="W262" s="14" t="str">
        <f>'FT Fee'!V114</f>
        <v/>
      </c>
      <c r="X262" s="14" t="str">
        <f>'FT Fee'!W114</f>
        <v/>
      </c>
      <c r="Y262" s="14" t="str">
        <f>'FT Fee'!X114</f>
        <v/>
      </c>
      <c r="Z262" s="15" t="str">
        <f>'FT Fee'!Y114</f>
        <v/>
      </c>
    </row>
    <row r="263" spans="1:26" hidden="1" x14ac:dyDescent="0.2">
      <c r="A263" s="16">
        <f>'FT Fee'!A117</f>
        <v>96</v>
      </c>
      <c r="B263" s="447">
        <f>'FT Fee'!B117</f>
        <v>0</v>
      </c>
      <c r="C263" s="447"/>
      <c r="D263" s="447">
        <f>'FT Fee'!D117</f>
        <v>0</v>
      </c>
      <c r="E263" s="446">
        <f>'FT Fee'!D115</f>
        <v>0</v>
      </c>
      <c r="F263" s="11">
        <f>'FT Fee'!G115</f>
        <v>0</v>
      </c>
      <c r="G263" s="11">
        <f>'FT Fee'!H117</f>
        <v>0</v>
      </c>
      <c r="H263" s="456">
        <f>'FT Fee'!I117</f>
        <v>0</v>
      </c>
      <c r="I263" s="448"/>
      <c r="J263" s="455">
        <f>'FT Fee'!I115</f>
        <v>0</v>
      </c>
      <c r="K263" s="448" t="str">
        <f>'FT Fee'!K117</f>
        <v/>
      </c>
      <c r="L263" s="448" t="str">
        <f>'FT Fee'!L117</f>
        <v>1a</v>
      </c>
      <c r="M263" s="449">
        <f>'FT Fee'!M117</f>
        <v>96</v>
      </c>
      <c r="N263" s="11">
        <f>'FT Fee'!N117</f>
        <v>0</v>
      </c>
      <c r="O263" s="11" t="str">
        <f>'FT Fee'!O117</f>
        <v>TEF</v>
      </c>
      <c r="P263" s="12" t="str">
        <f>'FT Fee'!O115</f>
        <v>TEF</v>
      </c>
      <c r="Q263" s="12" t="str">
        <f>'FT Fee'!P115</f>
        <v/>
      </c>
      <c r="R263" s="13" t="str">
        <f>'FT Fee'!Q115</f>
        <v>_TEF_</v>
      </c>
      <c r="S263" s="13" t="str">
        <f>'FT Fee'!R115</f>
        <v/>
      </c>
      <c r="T263" s="12" t="str">
        <f>'FT Fee'!S115</f>
        <v/>
      </c>
      <c r="U263" s="12" t="str">
        <f>'FT Fee'!T115</f>
        <v/>
      </c>
      <c r="V263" s="12" t="str">
        <f>'FT Fee'!U115</f>
        <v>NO</v>
      </c>
      <c r="W263" s="14" t="str">
        <f>'FT Fee'!V115</f>
        <v/>
      </c>
      <c r="X263" s="14" t="str">
        <f>'FT Fee'!W115</f>
        <v/>
      </c>
      <c r="Y263" s="14" t="str">
        <f>'FT Fee'!X115</f>
        <v/>
      </c>
      <c r="Z263" s="15" t="str">
        <f>'FT Fee'!Y115</f>
        <v/>
      </c>
    </row>
    <row r="264" spans="1:26" hidden="1" x14ac:dyDescent="0.2">
      <c r="A264" s="16">
        <f>'FT Fee'!A118</f>
        <v>97</v>
      </c>
      <c r="B264" s="447">
        <f>'FT Fee'!B118</f>
        <v>0</v>
      </c>
      <c r="C264" s="447"/>
      <c r="D264" s="447">
        <f>'FT Fee'!D118</f>
        <v>0</v>
      </c>
      <c r="E264" s="446">
        <f>'FT Fee'!D116</f>
        <v>0</v>
      </c>
      <c r="F264" s="11">
        <f>'FT Fee'!G116</f>
        <v>0</v>
      </c>
      <c r="G264" s="11">
        <f>'FT Fee'!H118</f>
        <v>0</v>
      </c>
      <c r="H264" s="456">
        <f>'FT Fee'!I118</f>
        <v>0</v>
      </c>
      <c r="I264" s="448"/>
      <c r="J264" s="455">
        <f>'FT Fee'!I116</f>
        <v>0</v>
      </c>
      <c r="K264" s="448" t="str">
        <f>'FT Fee'!K118</f>
        <v/>
      </c>
      <c r="L264" s="448" t="str">
        <f>'FT Fee'!L118</f>
        <v>1a</v>
      </c>
      <c r="M264" s="449">
        <f>'FT Fee'!M118</f>
        <v>97</v>
      </c>
      <c r="N264" s="11">
        <f>'FT Fee'!N118</f>
        <v>0</v>
      </c>
      <c r="O264" s="11" t="str">
        <f>'FT Fee'!O118</f>
        <v>TEF</v>
      </c>
      <c r="P264" s="12" t="str">
        <f>'FT Fee'!O116</f>
        <v>TEF</v>
      </c>
      <c r="Q264" s="12" t="str">
        <f>'FT Fee'!P116</f>
        <v/>
      </c>
      <c r="R264" s="13" t="str">
        <f>'FT Fee'!Q116</f>
        <v>_TEF_</v>
      </c>
      <c r="S264" s="13" t="str">
        <f>'FT Fee'!R116</f>
        <v/>
      </c>
      <c r="T264" s="12" t="str">
        <f>'FT Fee'!S116</f>
        <v/>
      </c>
      <c r="U264" s="12" t="str">
        <f>'FT Fee'!T116</f>
        <v/>
      </c>
      <c r="V264" s="12" t="str">
        <f>'FT Fee'!U116</f>
        <v>NO</v>
      </c>
      <c r="W264" s="14" t="str">
        <f>'FT Fee'!V116</f>
        <v/>
      </c>
      <c r="X264" s="14" t="str">
        <f>'FT Fee'!W116</f>
        <v/>
      </c>
      <c r="Y264" s="14" t="str">
        <f>'FT Fee'!X116</f>
        <v/>
      </c>
      <c r="Z264" s="15" t="str">
        <f>'FT Fee'!Y116</f>
        <v/>
      </c>
    </row>
    <row r="265" spans="1:26" hidden="1" x14ac:dyDescent="0.2">
      <c r="A265" s="16">
        <f>'FT Fee'!A119</f>
        <v>98</v>
      </c>
      <c r="B265" s="447">
        <f>'FT Fee'!B119</f>
        <v>0</v>
      </c>
      <c r="C265" s="447"/>
      <c r="D265" s="447">
        <f>'FT Fee'!D119</f>
        <v>0</v>
      </c>
      <c r="E265" s="446">
        <f>'FT Fee'!D117</f>
        <v>0</v>
      </c>
      <c r="F265" s="11">
        <f>'FT Fee'!G117</f>
        <v>0</v>
      </c>
      <c r="G265" s="19">
        <f>'FT Fee'!H119</f>
        <v>0</v>
      </c>
      <c r="H265" s="456">
        <f>'FT Fee'!I119</f>
        <v>0</v>
      </c>
      <c r="I265" s="448"/>
      <c r="J265" s="455">
        <f>'FT Fee'!I117</f>
        <v>0</v>
      </c>
      <c r="K265" s="448" t="str">
        <f>'FT Fee'!K119</f>
        <v/>
      </c>
      <c r="L265" s="448" t="str">
        <f>'FT Fee'!L119</f>
        <v>1a</v>
      </c>
      <c r="M265" s="449">
        <f>'FT Fee'!M119</f>
        <v>98</v>
      </c>
      <c r="N265" s="19">
        <f>'FT Fee'!N119</f>
        <v>0</v>
      </c>
      <c r="O265" s="19" t="str">
        <f>'FT Fee'!O119</f>
        <v>TEF</v>
      </c>
      <c r="P265" s="12" t="str">
        <f>'FT Fee'!O117</f>
        <v>TEF</v>
      </c>
      <c r="Q265" s="12" t="str">
        <f>'FT Fee'!P117</f>
        <v/>
      </c>
      <c r="R265" s="13" t="str">
        <f>'FT Fee'!Q117</f>
        <v>_TEF_</v>
      </c>
      <c r="S265" s="13" t="str">
        <f>'FT Fee'!R117</f>
        <v/>
      </c>
      <c r="T265" s="12" t="str">
        <f>'FT Fee'!S117</f>
        <v/>
      </c>
      <c r="U265" s="12" t="str">
        <f>'FT Fee'!T117</f>
        <v/>
      </c>
      <c r="V265" s="12" t="str">
        <f>'FT Fee'!U117</f>
        <v>NO</v>
      </c>
      <c r="W265" s="14" t="str">
        <f>'FT Fee'!V117</f>
        <v/>
      </c>
      <c r="X265" s="14" t="str">
        <f>'FT Fee'!W117</f>
        <v/>
      </c>
      <c r="Y265" s="14" t="str">
        <f>'FT Fee'!X117</f>
        <v/>
      </c>
      <c r="Z265" s="15" t="str">
        <f>'FT Fee'!Y117</f>
        <v/>
      </c>
    </row>
    <row r="266" spans="1:26" hidden="1" x14ac:dyDescent="0.2">
      <c r="A266" s="16">
        <f>'FT Fee'!A120</f>
        <v>99</v>
      </c>
      <c r="B266" s="444">
        <f>'FT Fee'!B120</f>
        <v>0</v>
      </c>
      <c r="C266" s="444"/>
      <c r="D266" s="444">
        <f>'FT Fee'!D120</f>
        <v>0</v>
      </c>
      <c r="E266" s="446">
        <f>'FT Fee'!D118</f>
        <v>0</v>
      </c>
      <c r="F266" s="11">
        <f>'FT Fee'!G118</f>
        <v>0</v>
      </c>
      <c r="G266" s="20">
        <f>'FT Fee'!H120</f>
        <v>0</v>
      </c>
      <c r="H266" s="455">
        <f>'FT Fee'!I120</f>
        <v>0</v>
      </c>
      <c r="I266" s="445"/>
      <c r="J266" s="455">
        <f>'FT Fee'!I118</f>
        <v>0</v>
      </c>
      <c r="K266" s="445" t="str">
        <f>'FT Fee'!K120</f>
        <v/>
      </c>
      <c r="L266" s="445" t="str">
        <f>'FT Fee'!L120</f>
        <v>1a</v>
      </c>
      <c r="M266" s="446">
        <f>'FT Fee'!M120</f>
        <v>99</v>
      </c>
      <c r="N266" s="20">
        <f>'FT Fee'!N120</f>
        <v>0</v>
      </c>
      <c r="O266" s="20" t="str">
        <f>'FT Fee'!O120</f>
        <v>TEF</v>
      </c>
      <c r="P266" s="12" t="str">
        <f>'FT Fee'!O118</f>
        <v>TEF</v>
      </c>
      <c r="Q266" s="12" t="str">
        <f>'FT Fee'!P118</f>
        <v/>
      </c>
      <c r="R266" s="13" t="str">
        <f>'FT Fee'!Q118</f>
        <v>_TEF_</v>
      </c>
      <c r="S266" s="13" t="str">
        <f>'FT Fee'!R118</f>
        <v/>
      </c>
      <c r="T266" s="12" t="str">
        <f>'FT Fee'!S118</f>
        <v/>
      </c>
      <c r="U266" s="12" t="str">
        <f>'FT Fee'!T118</f>
        <v/>
      </c>
      <c r="V266" s="12" t="str">
        <f>'FT Fee'!U118</f>
        <v>NO</v>
      </c>
      <c r="W266" s="14" t="str">
        <f>'FT Fee'!V118</f>
        <v/>
      </c>
      <c r="X266" s="14" t="str">
        <f>'FT Fee'!W118</f>
        <v/>
      </c>
      <c r="Y266" s="14" t="str">
        <f>'FT Fee'!X118</f>
        <v/>
      </c>
      <c r="Z266" s="15" t="str">
        <f>'FT Fee'!Y118</f>
        <v/>
      </c>
    </row>
    <row r="267" spans="1:26" hidden="1" x14ac:dyDescent="0.2">
      <c r="A267" s="16">
        <f>'FT Fee'!A121</f>
        <v>100</v>
      </c>
      <c r="B267" s="447">
        <f>'FT Fee'!B121</f>
        <v>0</v>
      </c>
      <c r="C267" s="447"/>
      <c r="D267" s="447">
        <f>'FT Fee'!D121</f>
        <v>0</v>
      </c>
      <c r="E267" s="446">
        <f>'FT Fee'!D119</f>
        <v>0</v>
      </c>
      <c r="F267" s="11">
        <f>'FT Fee'!G119</f>
        <v>0</v>
      </c>
      <c r="G267" s="11">
        <f>'FT Fee'!H121</f>
        <v>0</v>
      </c>
      <c r="H267" s="456">
        <f>'FT Fee'!I121</f>
        <v>0</v>
      </c>
      <c r="I267" s="448"/>
      <c r="J267" s="455">
        <f>'FT Fee'!I119</f>
        <v>0</v>
      </c>
      <c r="K267" s="448" t="str">
        <f>'FT Fee'!K121</f>
        <v/>
      </c>
      <c r="L267" s="448" t="str">
        <f>'FT Fee'!L121</f>
        <v>1a</v>
      </c>
      <c r="M267" s="449">
        <f>'FT Fee'!M121</f>
        <v>100</v>
      </c>
      <c r="N267" s="11">
        <f>'FT Fee'!N121</f>
        <v>0</v>
      </c>
      <c r="O267" s="11" t="str">
        <f>'FT Fee'!O121</f>
        <v>TEF</v>
      </c>
      <c r="P267" s="12" t="str">
        <f>'FT Fee'!O119</f>
        <v>TEF</v>
      </c>
      <c r="Q267" s="12" t="str">
        <f>'FT Fee'!P119</f>
        <v/>
      </c>
      <c r="R267" s="13" t="str">
        <f>'FT Fee'!Q119</f>
        <v>_TEF_</v>
      </c>
      <c r="S267" s="13" t="str">
        <f>'FT Fee'!R119</f>
        <v/>
      </c>
      <c r="T267" s="12" t="str">
        <f>'FT Fee'!S119</f>
        <v/>
      </c>
      <c r="U267" s="12" t="str">
        <f>'FT Fee'!T119</f>
        <v/>
      </c>
      <c r="V267" s="12" t="str">
        <f>'FT Fee'!U119</f>
        <v>NO</v>
      </c>
      <c r="W267" s="14" t="str">
        <f>'FT Fee'!V119</f>
        <v/>
      </c>
      <c r="X267" s="14" t="str">
        <f>'FT Fee'!W119</f>
        <v/>
      </c>
      <c r="Y267" s="14" t="str">
        <f>'FT Fee'!X119</f>
        <v/>
      </c>
      <c r="Z267" s="15" t="str">
        <f>'FT Fee'!Y119</f>
        <v/>
      </c>
    </row>
    <row r="268" spans="1:26" hidden="1" x14ac:dyDescent="0.2">
      <c r="A268" s="16">
        <f>'FT Fee'!A122</f>
        <v>101</v>
      </c>
      <c r="B268" s="447">
        <f>'FT Fee'!B122</f>
        <v>0</v>
      </c>
      <c r="C268" s="447"/>
      <c r="D268" s="447">
        <f>'FT Fee'!D122</f>
        <v>0</v>
      </c>
      <c r="E268" s="446">
        <f>'FT Fee'!D120</f>
        <v>0</v>
      </c>
      <c r="F268" s="11">
        <f>'FT Fee'!G120</f>
        <v>0</v>
      </c>
      <c r="G268" s="11">
        <f>'FT Fee'!H122</f>
        <v>0</v>
      </c>
      <c r="H268" s="456">
        <f>'FT Fee'!I122</f>
        <v>0</v>
      </c>
      <c r="I268" s="448"/>
      <c r="J268" s="455">
        <f>'FT Fee'!I120</f>
        <v>0</v>
      </c>
      <c r="K268" s="448" t="str">
        <f>'FT Fee'!K122</f>
        <v/>
      </c>
      <c r="L268" s="448" t="str">
        <f>'FT Fee'!L122</f>
        <v>1a</v>
      </c>
      <c r="M268" s="449">
        <f>'FT Fee'!M122</f>
        <v>101</v>
      </c>
      <c r="N268" s="11">
        <f>'FT Fee'!N122</f>
        <v>0</v>
      </c>
      <c r="O268" s="11" t="str">
        <f>'FT Fee'!O122</f>
        <v>TEF</v>
      </c>
      <c r="P268" s="12" t="str">
        <f>'FT Fee'!O120</f>
        <v>TEF</v>
      </c>
      <c r="Q268" s="12" t="str">
        <f>'FT Fee'!P120</f>
        <v/>
      </c>
      <c r="R268" s="13" t="str">
        <f>'FT Fee'!Q120</f>
        <v>_TEF_</v>
      </c>
      <c r="S268" s="13" t="str">
        <f>'FT Fee'!R120</f>
        <v/>
      </c>
      <c r="T268" s="12" t="str">
        <f>'FT Fee'!S120</f>
        <v/>
      </c>
      <c r="U268" s="12" t="str">
        <f>'FT Fee'!T120</f>
        <v/>
      </c>
      <c r="V268" s="12" t="str">
        <f>'FT Fee'!U120</f>
        <v>NO</v>
      </c>
      <c r="W268" s="14" t="str">
        <f>'FT Fee'!V120</f>
        <v/>
      </c>
      <c r="X268" s="14" t="str">
        <f>'FT Fee'!W120</f>
        <v/>
      </c>
      <c r="Y268" s="14" t="str">
        <f>'FT Fee'!X120</f>
        <v/>
      </c>
      <c r="Z268" s="15" t="str">
        <f>'FT Fee'!Y120</f>
        <v/>
      </c>
    </row>
    <row r="269" spans="1:26" hidden="1" x14ac:dyDescent="0.2">
      <c r="A269" s="16">
        <f>'FT Fee'!A123</f>
        <v>102</v>
      </c>
      <c r="B269" s="447">
        <f>'FT Fee'!B123</f>
        <v>0</v>
      </c>
      <c r="C269" s="447"/>
      <c r="D269" s="447">
        <f>'FT Fee'!D123</f>
        <v>0</v>
      </c>
      <c r="E269" s="446">
        <f>'FT Fee'!D121</f>
        <v>0</v>
      </c>
      <c r="F269" s="11">
        <f>'FT Fee'!G121</f>
        <v>0</v>
      </c>
      <c r="G269" s="19">
        <f>'FT Fee'!H123</f>
        <v>0</v>
      </c>
      <c r="H269" s="456">
        <f>'FT Fee'!I123</f>
        <v>0</v>
      </c>
      <c r="I269" s="448"/>
      <c r="J269" s="455">
        <f>'FT Fee'!I121</f>
        <v>0</v>
      </c>
      <c r="K269" s="448" t="str">
        <f>'FT Fee'!K123</f>
        <v/>
      </c>
      <c r="L269" s="448" t="str">
        <f>'FT Fee'!L123</f>
        <v>1a</v>
      </c>
      <c r="M269" s="449">
        <f>'FT Fee'!M123</f>
        <v>102</v>
      </c>
      <c r="N269" s="19">
        <f>'FT Fee'!N123</f>
        <v>0</v>
      </c>
      <c r="O269" s="19" t="str">
        <f>'FT Fee'!O123</f>
        <v>TEF</v>
      </c>
      <c r="P269" s="12" t="str">
        <f>'FT Fee'!O121</f>
        <v>TEF</v>
      </c>
      <c r="Q269" s="12" t="str">
        <f>'FT Fee'!P121</f>
        <v/>
      </c>
      <c r="R269" s="13" t="str">
        <f>'FT Fee'!Q121</f>
        <v>_TEF_</v>
      </c>
      <c r="S269" s="13" t="str">
        <f>'FT Fee'!R121</f>
        <v/>
      </c>
      <c r="T269" s="12" t="str">
        <f>'FT Fee'!S121</f>
        <v/>
      </c>
      <c r="U269" s="12" t="str">
        <f>'FT Fee'!T121</f>
        <v/>
      </c>
      <c r="V269" s="12" t="str">
        <f>'FT Fee'!U121</f>
        <v>NO</v>
      </c>
      <c r="W269" s="14" t="str">
        <f>'FT Fee'!V121</f>
        <v/>
      </c>
      <c r="X269" s="14" t="str">
        <f>'FT Fee'!W121</f>
        <v/>
      </c>
      <c r="Y269" s="14" t="str">
        <f>'FT Fee'!X121</f>
        <v/>
      </c>
      <c r="Z269" s="15" t="str">
        <f>'FT Fee'!Y121</f>
        <v/>
      </c>
    </row>
    <row r="270" spans="1:26" hidden="1" x14ac:dyDescent="0.2">
      <c r="A270" s="16">
        <f>'FT Fee'!A124</f>
        <v>103</v>
      </c>
      <c r="B270" s="444">
        <f>'FT Fee'!B124</f>
        <v>0</v>
      </c>
      <c r="C270" s="444"/>
      <c r="D270" s="444">
        <f>'FT Fee'!D124</f>
        <v>0</v>
      </c>
      <c r="E270" s="446">
        <f>'FT Fee'!D122</f>
        <v>0</v>
      </c>
      <c r="F270" s="11">
        <f>'FT Fee'!G122</f>
        <v>0</v>
      </c>
      <c r="G270" s="20">
        <f>'FT Fee'!H124</f>
        <v>0</v>
      </c>
      <c r="H270" s="455">
        <f>'FT Fee'!I124</f>
        <v>0</v>
      </c>
      <c r="I270" s="445"/>
      <c r="J270" s="455">
        <f>'FT Fee'!I122</f>
        <v>0</v>
      </c>
      <c r="K270" s="445" t="str">
        <f>'FT Fee'!K124</f>
        <v/>
      </c>
      <c r="L270" s="445" t="str">
        <f>'FT Fee'!L124</f>
        <v>1a</v>
      </c>
      <c r="M270" s="446">
        <f>'FT Fee'!M124</f>
        <v>103</v>
      </c>
      <c r="N270" s="20">
        <f>'FT Fee'!N124</f>
        <v>0</v>
      </c>
      <c r="O270" s="20" t="str">
        <f>'FT Fee'!O124</f>
        <v>TEF</v>
      </c>
      <c r="P270" s="12" t="str">
        <f>'FT Fee'!O122</f>
        <v>TEF</v>
      </c>
      <c r="Q270" s="12" t="str">
        <f>'FT Fee'!P122</f>
        <v/>
      </c>
      <c r="R270" s="13" t="str">
        <f>'FT Fee'!Q122</f>
        <v>_TEF_</v>
      </c>
      <c r="S270" s="13" t="str">
        <f>'FT Fee'!R122</f>
        <v/>
      </c>
      <c r="T270" s="12" t="str">
        <f>'FT Fee'!S122</f>
        <v/>
      </c>
      <c r="U270" s="12" t="str">
        <f>'FT Fee'!T122</f>
        <v/>
      </c>
      <c r="V270" s="12" t="str">
        <f>'FT Fee'!U122</f>
        <v>NO</v>
      </c>
      <c r="W270" s="14" t="str">
        <f>'FT Fee'!V122</f>
        <v/>
      </c>
      <c r="X270" s="14" t="str">
        <f>'FT Fee'!W122</f>
        <v/>
      </c>
      <c r="Y270" s="14" t="str">
        <f>'FT Fee'!X122</f>
        <v/>
      </c>
      <c r="Z270" s="15" t="str">
        <f>'FT Fee'!Y122</f>
        <v/>
      </c>
    </row>
    <row r="271" spans="1:26" hidden="1" x14ac:dyDescent="0.2">
      <c r="A271" s="16">
        <f>'FT Fee'!A125</f>
        <v>104</v>
      </c>
      <c r="B271" s="447">
        <f>'FT Fee'!B125</f>
        <v>0</v>
      </c>
      <c r="C271" s="447"/>
      <c r="D271" s="447">
        <f>'FT Fee'!D125</f>
        <v>0</v>
      </c>
      <c r="E271" s="446">
        <f>'FT Fee'!D123</f>
        <v>0</v>
      </c>
      <c r="F271" s="11">
        <f>'FT Fee'!G123</f>
        <v>0</v>
      </c>
      <c r="G271" s="11">
        <f>'FT Fee'!H125</f>
        <v>0</v>
      </c>
      <c r="H271" s="456">
        <f>'FT Fee'!I125</f>
        <v>0</v>
      </c>
      <c r="I271" s="448"/>
      <c r="J271" s="455">
        <f>'FT Fee'!I123</f>
        <v>0</v>
      </c>
      <c r="K271" s="448" t="str">
        <f>'FT Fee'!K125</f>
        <v/>
      </c>
      <c r="L271" s="448" t="str">
        <f>'FT Fee'!L125</f>
        <v>1a</v>
      </c>
      <c r="M271" s="449">
        <f>'FT Fee'!M125</f>
        <v>104</v>
      </c>
      <c r="N271" s="11">
        <f>'FT Fee'!N125</f>
        <v>0</v>
      </c>
      <c r="O271" s="11" t="str">
        <f>'FT Fee'!O125</f>
        <v>TEF</v>
      </c>
      <c r="P271" s="12" t="str">
        <f>'FT Fee'!O123</f>
        <v>TEF</v>
      </c>
      <c r="Q271" s="12" t="str">
        <f>'FT Fee'!P123</f>
        <v/>
      </c>
      <c r="R271" s="13" t="str">
        <f>'FT Fee'!Q123</f>
        <v>_TEF_</v>
      </c>
      <c r="S271" s="13" t="str">
        <f>'FT Fee'!R123</f>
        <v/>
      </c>
      <c r="T271" s="12" t="str">
        <f>'FT Fee'!S123</f>
        <v/>
      </c>
      <c r="U271" s="12" t="str">
        <f>'FT Fee'!T123</f>
        <v/>
      </c>
      <c r="V271" s="12" t="str">
        <f>'FT Fee'!U123</f>
        <v>NO</v>
      </c>
      <c r="W271" s="14" t="str">
        <f>'FT Fee'!V123</f>
        <v/>
      </c>
      <c r="X271" s="14" t="str">
        <f>'FT Fee'!W123</f>
        <v/>
      </c>
      <c r="Y271" s="14" t="str">
        <f>'FT Fee'!X123</f>
        <v/>
      </c>
      <c r="Z271" s="15" t="str">
        <f>'FT Fee'!Y123</f>
        <v/>
      </c>
    </row>
    <row r="272" spans="1:26" hidden="1" x14ac:dyDescent="0.2">
      <c r="A272" s="16">
        <f>'FT Fee'!A126</f>
        <v>105</v>
      </c>
      <c r="B272" s="447">
        <f>'FT Fee'!B126</f>
        <v>0</v>
      </c>
      <c r="C272" s="447"/>
      <c r="D272" s="447">
        <f>'FT Fee'!D126</f>
        <v>0</v>
      </c>
      <c r="E272" s="446">
        <f>'FT Fee'!D124</f>
        <v>0</v>
      </c>
      <c r="F272" s="11">
        <f>'FT Fee'!G124</f>
        <v>0</v>
      </c>
      <c r="G272" s="11">
        <f>'FT Fee'!H126</f>
        <v>0</v>
      </c>
      <c r="H272" s="456">
        <f>'FT Fee'!I126</f>
        <v>0</v>
      </c>
      <c r="I272" s="448"/>
      <c r="J272" s="455">
        <f>'FT Fee'!I124</f>
        <v>0</v>
      </c>
      <c r="K272" s="448" t="str">
        <f>'FT Fee'!K126</f>
        <v/>
      </c>
      <c r="L272" s="448" t="str">
        <f>'FT Fee'!L126</f>
        <v>1a</v>
      </c>
      <c r="M272" s="449">
        <f>'FT Fee'!M126</f>
        <v>105</v>
      </c>
      <c r="N272" s="11">
        <f>'FT Fee'!N126</f>
        <v>0</v>
      </c>
      <c r="O272" s="11" t="str">
        <f>'FT Fee'!O126</f>
        <v>TEF</v>
      </c>
      <c r="P272" s="12" t="str">
        <f>'FT Fee'!O124</f>
        <v>TEF</v>
      </c>
      <c r="Q272" s="12" t="str">
        <f>'FT Fee'!P124</f>
        <v/>
      </c>
      <c r="R272" s="13" t="str">
        <f>'FT Fee'!Q124</f>
        <v>_TEF_</v>
      </c>
      <c r="S272" s="13" t="str">
        <f>'FT Fee'!R124</f>
        <v/>
      </c>
      <c r="T272" s="12" t="str">
        <f>'FT Fee'!S124</f>
        <v/>
      </c>
      <c r="U272" s="12" t="str">
        <f>'FT Fee'!T124</f>
        <v/>
      </c>
      <c r="V272" s="12" t="str">
        <f>'FT Fee'!U124</f>
        <v>NO</v>
      </c>
      <c r="W272" s="14" t="str">
        <f>'FT Fee'!V124</f>
        <v/>
      </c>
      <c r="X272" s="14" t="str">
        <f>'FT Fee'!W124</f>
        <v/>
      </c>
      <c r="Y272" s="14" t="str">
        <f>'FT Fee'!X124</f>
        <v/>
      </c>
      <c r="Z272" s="15" t="str">
        <f>'FT Fee'!Y124</f>
        <v/>
      </c>
    </row>
    <row r="273" spans="1:26" hidden="1" x14ac:dyDescent="0.2">
      <c r="A273" s="16">
        <f>'FT Fee'!A127</f>
        <v>106</v>
      </c>
      <c r="B273" s="447">
        <f>'FT Fee'!B127</f>
        <v>0</v>
      </c>
      <c r="C273" s="447"/>
      <c r="D273" s="447">
        <f>'FT Fee'!D127</f>
        <v>0</v>
      </c>
      <c r="E273" s="446">
        <f>'FT Fee'!D125</f>
        <v>0</v>
      </c>
      <c r="F273" s="11">
        <f>'FT Fee'!G125</f>
        <v>0</v>
      </c>
      <c r="G273" s="19">
        <f>'FT Fee'!H127</f>
        <v>0</v>
      </c>
      <c r="H273" s="456">
        <f>'FT Fee'!I127</f>
        <v>0</v>
      </c>
      <c r="I273" s="448"/>
      <c r="J273" s="455">
        <f>'FT Fee'!I125</f>
        <v>0</v>
      </c>
      <c r="K273" s="448" t="str">
        <f>'FT Fee'!K127</f>
        <v/>
      </c>
      <c r="L273" s="448" t="str">
        <f>'FT Fee'!L127</f>
        <v>1a</v>
      </c>
      <c r="M273" s="449">
        <f>'FT Fee'!M127</f>
        <v>106</v>
      </c>
      <c r="N273" s="19">
        <f>'FT Fee'!N127</f>
        <v>0</v>
      </c>
      <c r="O273" s="19" t="str">
        <f>'FT Fee'!O127</f>
        <v>TEF</v>
      </c>
      <c r="P273" s="12" t="str">
        <f>'FT Fee'!O125</f>
        <v>TEF</v>
      </c>
      <c r="Q273" s="12" t="str">
        <f>'FT Fee'!P125</f>
        <v/>
      </c>
      <c r="R273" s="13" t="str">
        <f>'FT Fee'!Q125</f>
        <v>_TEF_</v>
      </c>
      <c r="S273" s="13" t="str">
        <f>'FT Fee'!R125</f>
        <v/>
      </c>
      <c r="T273" s="12" t="str">
        <f>'FT Fee'!S125</f>
        <v/>
      </c>
      <c r="U273" s="12" t="str">
        <f>'FT Fee'!T125</f>
        <v/>
      </c>
      <c r="V273" s="12" t="str">
        <f>'FT Fee'!U125</f>
        <v>NO</v>
      </c>
      <c r="W273" s="14" t="str">
        <f>'FT Fee'!V125</f>
        <v/>
      </c>
      <c r="X273" s="14" t="str">
        <f>'FT Fee'!W125</f>
        <v/>
      </c>
      <c r="Y273" s="14" t="str">
        <f>'FT Fee'!X125</f>
        <v/>
      </c>
      <c r="Z273" s="15" t="str">
        <f>'FT Fee'!Y125</f>
        <v/>
      </c>
    </row>
    <row r="274" spans="1:26" hidden="1" x14ac:dyDescent="0.2">
      <c r="A274" s="16">
        <f>'FT Fee'!A128</f>
        <v>107</v>
      </c>
      <c r="B274" s="444">
        <f>'FT Fee'!B128</f>
        <v>0</v>
      </c>
      <c r="C274" s="444"/>
      <c r="D274" s="444">
        <f>'FT Fee'!D128</f>
        <v>0</v>
      </c>
      <c r="E274" s="446">
        <f>'FT Fee'!D126</f>
        <v>0</v>
      </c>
      <c r="F274" s="11">
        <f>'FT Fee'!G126</f>
        <v>0</v>
      </c>
      <c r="G274" s="20">
        <f>'FT Fee'!H128</f>
        <v>0</v>
      </c>
      <c r="H274" s="455">
        <f>'FT Fee'!I128</f>
        <v>0</v>
      </c>
      <c r="I274" s="445"/>
      <c r="J274" s="455">
        <f>'FT Fee'!I126</f>
        <v>0</v>
      </c>
      <c r="K274" s="445" t="str">
        <f>'FT Fee'!K128</f>
        <v/>
      </c>
      <c r="L274" s="445" t="str">
        <f>'FT Fee'!L128</f>
        <v>1a</v>
      </c>
      <c r="M274" s="446">
        <f>'FT Fee'!M128</f>
        <v>107</v>
      </c>
      <c r="N274" s="20">
        <f>'FT Fee'!N128</f>
        <v>0</v>
      </c>
      <c r="O274" s="20" t="str">
        <f>'FT Fee'!O128</f>
        <v>TEF</v>
      </c>
      <c r="P274" s="12" t="str">
        <f>'FT Fee'!O126</f>
        <v>TEF</v>
      </c>
      <c r="Q274" s="12" t="str">
        <f>'FT Fee'!P126</f>
        <v/>
      </c>
      <c r="R274" s="13" t="str">
        <f>'FT Fee'!Q126</f>
        <v>_TEF_</v>
      </c>
      <c r="S274" s="13" t="str">
        <f>'FT Fee'!R126</f>
        <v/>
      </c>
      <c r="T274" s="12" t="str">
        <f>'FT Fee'!S126</f>
        <v/>
      </c>
      <c r="U274" s="12" t="str">
        <f>'FT Fee'!T126</f>
        <v/>
      </c>
      <c r="V274" s="12" t="str">
        <f>'FT Fee'!U126</f>
        <v>NO</v>
      </c>
      <c r="W274" s="14" t="str">
        <f>'FT Fee'!V126</f>
        <v/>
      </c>
      <c r="X274" s="14" t="str">
        <f>'FT Fee'!W126</f>
        <v/>
      </c>
      <c r="Y274" s="14" t="str">
        <f>'FT Fee'!X126</f>
        <v/>
      </c>
      <c r="Z274" s="15" t="str">
        <f>'FT Fee'!Y126</f>
        <v/>
      </c>
    </row>
    <row r="275" spans="1:26" hidden="1" x14ac:dyDescent="0.2">
      <c r="A275" s="16">
        <f>'FT Fee'!A129</f>
        <v>108</v>
      </c>
      <c r="B275" s="447">
        <f>'FT Fee'!B129</f>
        <v>0</v>
      </c>
      <c r="C275" s="447"/>
      <c r="D275" s="447">
        <f>'FT Fee'!D129</f>
        <v>0</v>
      </c>
      <c r="E275" s="446">
        <f>'FT Fee'!D127</f>
        <v>0</v>
      </c>
      <c r="F275" s="11">
        <f>'FT Fee'!G127</f>
        <v>0</v>
      </c>
      <c r="G275" s="11">
        <f>'FT Fee'!H129</f>
        <v>0</v>
      </c>
      <c r="H275" s="456">
        <f>'FT Fee'!I129</f>
        <v>0</v>
      </c>
      <c r="I275" s="448"/>
      <c r="J275" s="455">
        <f>'FT Fee'!I127</f>
        <v>0</v>
      </c>
      <c r="K275" s="448" t="str">
        <f>'FT Fee'!K129</f>
        <v/>
      </c>
      <c r="L275" s="448" t="str">
        <f>'FT Fee'!L129</f>
        <v>1a</v>
      </c>
      <c r="M275" s="449">
        <f>'FT Fee'!M129</f>
        <v>108</v>
      </c>
      <c r="N275" s="11">
        <f>'FT Fee'!N129</f>
        <v>0</v>
      </c>
      <c r="O275" s="11" t="str">
        <f>'FT Fee'!O129</f>
        <v>TEF</v>
      </c>
      <c r="P275" s="12" t="str">
        <f>'FT Fee'!O127</f>
        <v>TEF</v>
      </c>
      <c r="Q275" s="12" t="str">
        <f>'FT Fee'!P127</f>
        <v/>
      </c>
      <c r="R275" s="13" t="str">
        <f>'FT Fee'!Q127</f>
        <v>_TEF_</v>
      </c>
      <c r="S275" s="13" t="str">
        <f>'FT Fee'!R127</f>
        <v/>
      </c>
      <c r="T275" s="12" t="str">
        <f>'FT Fee'!S127</f>
        <v/>
      </c>
      <c r="U275" s="12" t="str">
        <f>'FT Fee'!T127</f>
        <v/>
      </c>
      <c r="V275" s="12" t="str">
        <f>'FT Fee'!U127</f>
        <v>NO</v>
      </c>
      <c r="W275" s="14" t="str">
        <f>'FT Fee'!V127</f>
        <v/>
      </c>
      <c r="X275" s="14" t="str">
        <f>'FT Fee'!W127</f>
        <v/>
      </c>
      <c r="Y275" s="14" t="str">
        <f>'FT Fee'!X127</f>
        <v/>
      </c>
      <c r="Z275" s="15" t="str">
        <f>'FT Fee'!Y127</f>
        <v/>
      </c>
    </row>
    <row r="276" spans="1:26" hidden="1" x14ac:dyDescent="0.2">
      <c r="A276" s="16">
        <f>'FT Fee'!A130</f>
        <v>109</v>
      </c>
      <c r="B276" s="447">
        <f>'FT Fee'!B130</f>
        <v>0</v>
      </c>
      <c r="C276" s="447"/>
      <c r="D276" s="447">
        <f>'FT Fee'!D130</f>
        <v>0</v>
      </c>
      <c r="E276" s="446">
        <f>'FT Fee'!D128</f>
        <v>0</v>
      </c>
      <c r="F276" s="11">
        <f>'FT Fee'!G128</f>
        <v>0</v>
      </c>
      <c r="G276" s="11">
        <f>'FT Fee'!H130</f>
        <v>0</v>
      </c>
      <c r="H276" s="456">
        <f>'FT Fee'!I130</f>
        <v>0</v>
      </c>
      <c r="I276" s="448"/>
      <c r="J276" s="455">
        <f>'FT Fee'!I128</f>
        <v>0</v>
      </c>
      <c r="K276" s="448" t="str">
        <f>'FT Fee'!K130</f>
        <v/>
      </c>
      <c r="L276" s="448" t="str">
        <f>'FT Fee'!L130</f>
        <v>1a</v>
      </c>
      <c r="M276" s="449">
        <f>'FT Fee'!M130</f>
        <v>109</v>
      </c>
      <c r="N276" s="11">
        <f>'FT Fee'!N130</f>
        <v>0</v>
      </c>
      <c r="O276" s="11" t="str">
        <f>'FT Fee'!O130</f>
        <v>TEF</v>
      </c>
      <c r="P276" s="12" t="str">
        <f>'FT Fee'!O128</f>
        <v>TEF</v>
      </c>
      <c r="Q276" s="12" t="str">
        <f>'FT Fee'!P128</f>
        <v/>
      </c>
      <c r="R276" s="13" t="str">
        <f>'FT Fee'!Q128</f>
        <v>_TEF_</v>
      </c>
      <c r="S276" s="13" t="str">
        <f>'FT Fee'!R128</f>
        <v/>
      </c>
      <c r="T276" s="12" t="str">
        <f>'FT Fee'!S128</f>
        <v/>
      </c>
      <c r="U276" s="12" t="str">
        <f>'FT Fee'!T128</f>
        <v/>
      </c>
      <c r="V276" s="12" t="str">
        <f>'FT Fee'!U128</f>
        <v>NO</v>
      </c>
      <c r="W276" s="14" t="str">
        <f>'FT Fee'!V128</f>
        <v/>
      </c>
      <c r="X276" s="14" t="str">
        <f>'FT Fee'!W128</f>
        <v/>
      </c>
      <c r="Y276" s="14" t="str">
        <f>'FT Fee'!X128</f>
        <v/>
      </c>
      <c r="Z276" s="15" t="str">
        <f>'FT Fee'!Y128</f>
        <v/>
      </c>
    </row>
    <row r="277" spans="1:26" hidden="1" x14ac:dyDescent="0.2">
      <c r="A277" s="16">
        <f>'FT Fee'!A131</f>
        <v>110</v>
      </c>
      <c r="B277" s="447">
        <f>'FT Fee'!B131</f>
        <v>0</v>
      </c>
      <c r="C277" s="447"/>
      <c r="D277" s="447">
        <f>'FT Fee'!D131</f>
        <v>0</v>
      </c>
      <c r="E277" s="446">
        <f>'FT Fee'!D129</f>
        <v>0</v>
      </c>
      <c r="F277" s="11">
        <f>'FT Fee'!G129</f>
        <v>0</v>
      </c>
      <c r="G277" s="19">
        <f>'FT Fee'!H131</f>
        <v>0</v>
      </c>
      <c r="H277" s="456">
        <f>'FT Fee'!I131</f>
        <v>0</v>
      </c>
      <c r="I277" s="448"/>
      <c r="J277" s="455">
        <f>'FT Fee'!I129</f>
        <v>0</v>
      </c>
      <c r="K277" s="448" t="str">
        <f>'FT Fee'!K131</f>
        <v/>
      </c>
      <c r="L277" s="448" t="str">
        <f>'FT Fee'!L131</f>
        <v>1a</v>
      </c>
      <c r="M277" s="449">
        <f>'FT Fee'!M131</f>
        <v>110</v>
      </c>
      <c r="N277" s="19">
        <f>'FT Fee'!N131</f>
        <v>0</v>
      </c>
      <c r="O277" s="19" t="str">
        <f>'FT Fee'!O131</f>
        <v>TEF</v>
      </c>
      <c r="P277" s="12" t="str">
        <f>'FT Fee'!O129</f>
        <v>TEF</v>
      </c>
      <c r="Q277" s="12" t="str">
        <f>'FT Fee'!P129</f>
        <v/>
      </c>
      <c r="R277" s="13" t="str">
        <f>'FT Fee'!Q129</f>
        <v>_TEF_</v>
      </c>
      <c r="S277" s="13" t="str">
        <f>'FT Fee'!R129</f>
        <v/>
      </c>
      <c r="T277" s="12" t="str">
        <f>'FT Fee'!S129</f>
        <v/>
      </c>
      <c r="U277" s="12" t="str">
        <f>'FT Fee'!T129</f>
        <v/>
      </c>
      <c r="V277" s="12" t="str">
        <f>'FT Fee'!U129</f>
        <v>NO</v>
      </c>
      <c r="W277" s="14" t="str">
        <f>'FT Fee'!V129</f>
        <v/>
      </c>
      <c r="X277" s="14" t="str">
        <f>'FT Fee'!W129</f>
        <v/>
      </c>
      <c r="Y277" s="14" t="str">
        <f>'FT Fee'!X129</f>
        <v/>
      </c>
      <c r="Z277" s="15" t="str">
        <f>'FT Fee'!Y129</f>
        <v/>
      </c>
    </row>
    <row r="278" spans="1:26" hidden="1" x14ac:dyDescent="0.2">
      <c r="A278" s="16">
        <f>'FT Fee'!A132</f>
        <v>111</v>
      </c>
      <c r="B278" s="444">
        <f>'FT Fee'!B132</f>
        <v>0</v>
      </c>
      <c r="C278" s="444"/>
      <c r="D278" s="444">
        <f>'FT Fee'!D132</f>
        <v>0</v>
      </c>
      <c r="E278" s="446">
        <f>'FT Fee'!D130</f>
        <v>0</v>
      </c>
      <c r="F278" s="11">
        <f>'FT Fee'!G130</f>
        <v>0</v>
      </c>
      <c r="G278" s="20">
        <f>'FT Fee'!H132</f>
        <v>0</v>
      </c>
      <c r="H278" s="455">
        <f>'FT Fee'!I132</f>
        <v>0</v>
      </c>
      <c r="I278" s="445"/>
      <c r="J278" s="455">
        <f>'FT Fee'!I130</f>
        <v>0</v>
      </c>
      <c r="K278" s="445" t="str">
        <f>'FT Fee'!K132</f>
        <v/>
      </c>
      <c r="L278" s="445" t="str">
        <f>'FT Fee'!L132</f>
        <v>1a</v>
      </c>
      <c r="M278" s="446">
        <f>'FT Fee'!M132</f>
        <v>111</v>
      </c>
      <c r="N278" s="20">
        <f>'FT Fee'!N132</f>
        <v>0</v>
      </c>
      <c r="O278" s="20" t="str">
        <f>'FT Fee'!O132</f>
        <v>TEF</v>
      </c>
      <c r="P278" s="12" t="str">
        <f>'FT Fee'!O130</f>
        <v>TEF</v>
      </c>
      <c r="Q278" s="12" t="str">
        <f>'FT Fee'!P130</f>
        <v/>
      </c>
      <c r="R278" s="13" t="str">
        <f>'FT Fee'!Q130</f>
        <v>_TEF_</v>
      </c>
      <c r="S278" s="13" t="str">
        <f>'FT Fee'!R130</f>
        <v/>
      </c>
      <c r="T278" s="12" t="str">
        <f>'FT Fee'!S130</f>
        <v/>
      </c>
      <c r="U278" s="12" t="str">
        <f>'FT Fee'!T130</f>
        <v/>
      </c>
      <c r="V278" s="12" t="str">
        <f>'FT Fee'!U130</f>
        <v>NO</v>
      </c>
      <c r="W278" s="14" t="str">
        <f>'FT Fee'!V130</f>
        <v/>
      </c>
      <c r="X278" s="14" t="str">
        <f>'FT Fee'!W130</f>
        <v/>
      </c>
      <c r="Y278" s="14" t="str">
        <f>'FT Fee'!X130</f>
        <v/>
      </c>
      <c r="Z278" s="15" t="str">
        <f>'FT Fee'!Y130</f>
        <v/>
      </c>
    </row>
    <row r="279" spans="1:26" hidden="1" x14ac:dyDescent="0.2">
      <c r="A279" s="16">
        <f>'FT Fee'!A133</f>
        <v>112</v>
      </c>
      <c r="B279" s="447">
        <f>'FT Fee'!B133</f>
        <v>0</v>
      </c>
      <c r="C279" s="447"/>
      <c r="D279" s="447">
        <f>'FT Fee'!D133</f>
        <v>0</v>
      </c>
      <c r="E279" s="446">
        <f>'FT Fee'!D131</f>
        <v>0</v>
      </c>
      <c r="F279" s="11">
        <f>'FT Fee'!G131</f>
        <v>0</v>
      </c>
      <c r="G279" s="11">
        <f>'FT Fee'!H133</f>
        <v>0</v>
      </c>
      <c r="H279" s="456">
        <f>'FT Fee'!I133</f>
        <v>0</v>
      </c>
      <c r="I279" s="448"/>
      <c r="J279" s="455">
        <f>'FT Fee'!I131</f>
        <v>0</v>
      </c>
      <c r="K279" s="448" t="str">
        <f>'FT Fee'!K133</f>
        <v/>
      </c>
      <c r="L279" s="448" t="str">
        <f>'FT Fee'!L133</f>
        <v>1a</v>
      </c>
      <c r="M279" s="449">
        <f>'FT Fee'!M133</f>
        <v>112</v>
      </c>
      <c r="N279" s="11">
        <f>'FT Fee'!N133</f>
        <v>0</v>
      </c>
      <c r="O279" s="11" t="str">
        <f>'FT Fee'!O133</f>
        <v>TEF</v>
      </c>
      <c r="P279" s="12" t="str">
        <f>'FT Fee'!O131</f>
        <v>TEF</v>
      </c>
      <c r="Q279" s="12" t="str">
        <f>'FT Fee'!P131</f>
        <v/>
      </c>
      <c r="R279" s="13" t="str">
        <f>'FT Fee'!Q131</f>
        <v>_TEF_</v>
      </c>
      <c r="S279" s="13" t="str">
        <f>'FT Fee'!R131</f>
        <v/>
      </c>
      <c r="T279" s="12" t="str">
        <f>'FT Fee'!S131</f>
        <v/>
      </c>
      <c r="U279" s="12" t="str">
        <f>'FT Fee'!T131</f>
        <v/>
      </c>
      <c r="V279" s="12" t="str">
        <f>'FT Fee'!U131</f>
        <v>NO</v>
      </c>
      <c r="W279" s="14" t="str">
        <f>'FT Fee'!V131</f>
        <v/>
      </c>
      <c r="X279" s="14" t="str">
        <f>'FT Fee'!W131</f>
        <v/>
      </c>
      <c r="Y279" s="14" t="str">
        <f>'FT Fee'!X131</f>
        <v/>
      </c>
      <c r="Z279" s="15" t="str">
        <f>'FT Fee'!Y131</f>
        <v/>
      </c>
    </row>
    <row r="280" spans="1:26" hidden="1" x14ac:dyDescent="0.2">
      <c r="A280" s="16">
        <f>'FT Fee'!A134</f>
        <v>113</v>
      </c>
      <c r="B280" s="447">
        <f>'FT Fee'!B134</f>
        <v>0</v>
      </c>
      <c r="C280" s="447"/>
      <c r="D280" s="447">
        <f>'FT Fee'!D134</f>
        <v>0</v>
      </c>
      <c r="E280" s="446">
        <f>'FT Fee'!D132</f>
        <v>0</v>
      </c>
      <c r="F280" s="11">
        <f>'FT Fee'!G132</f>
        <v>0</v>
      </c>
      <c r="G280" s="11">
        <f>'FT Fee'!H134</f>
        <v>0</v>
      </c>
      <c r="H280" s="456">
        <f>'FT Fee'!I134</f>
        <v>0</v>
      </c>
      <c r="I280" s="448"/>
      <c r="J280" s="455">
        <f>'FT Fee'!I132</f>
        <v>0</v>
      </c>
      <c r="K280" s="448" t="str">
        <f>'FT Fee'!K134</f>
        <v/>
      </c>
      <c r="L280" s="448" t="str">
        <f>'FT Fee'!L134</f>
        <v>1a</v>
      </c>
      <c r="M280" s="449">
        <f>'FT Fee'!M134</f>
        <v>113</v>
      </c>
      <c r="N280" s="11">
        <f>'FT Fee'!N134</f>
        <v>0</v>
      </c>
      <c r="O280" s="11" t="str">
        <f>'FT Fee'!O134</f>
        <v>TEF</v>
      </c>
      <c r="P280" s="12" t="str">
        <f>'FT Fee'!O132</f>
        <v>TEF</v>
      </c>
      <c r="Q280" s="12" t="str">
        <f>'FT Fee'!P132</f>
        <v/>
      </c>
      <c r="R280" s="13" t="str">
        <f>'FT Fee'!Q132</f>
        <v>_TEF_</v>
      </c>
      <c r="S280" s="13" t="str">
        <f>'FT Fee'!R132</f>
        <v/>
      </c>
      <c r="T280" s="12" t="str">
        <f>'FT Fee'!S132</f>
        <v/>
      </c>
      <c r="U280" s="12" t="str">
        <f>'FT Fee'!T132</f>
        <v/>
      </c>
      <c r="V280" s="12" t="str">
        <f>'FT Fee'!U132</f>
        <v>NO</v>
      </c>
      <c r="W280" s="14" t="str">
        <f>'FT Fee'!V132</f>
        <v/>
      </c>
      <c r="X280" s="14" t="str">
        <f>'FT Fee'!W132</f>
        <v/>
      </c>
      <c r="Y280" s="14" t="str">
        <f>'FT Fee'!X132</f>
        <v/>
      </c>
      <c r="Z280" s="15" t="str">
        <f>'FT Fee'!Y132</f>
        <v/>
      </c>
    </row>
    <row r="281" spans="1:26" hidden="1" x14ac:dyDescent="0.2">
      <c r="A281" s="16">
        <f>'FT Fee'!A135</f>
        <v>114</v>
      </c>
      <c r="B281" s="447">
        <f>'FT Fee'!B135</f>
        <v>0</v>
      </c>
      <c r="C281" s="447"/>
      <c r="D281" s="447">
        <f>'FT Fee'!D135</f>
        <v>0</v>
      </c>
      <c r="E281" s="446">
        <f>'FT Fee'!D133</f>
        <v>0</v>
      </c>
      <c r="F281" s="11">
        <f>'FT Fee'!G133</f>
        <v>0</v>
      </c>
      <c r="G281" s="19">
        <f>'FT Fee'!H135</f>
        <v>0</v>
      </c>
      <c r="H281" s="456">
        <f>'FT Fee'!I135</f>
        <v>0</v>
      </c>
      <c r="I281" s="448"/>
      <c r="J281" s="455">
        <f>'FT Fee'!I133</f>
        <v>0</v>
      </c>
      <c r="K281" s="448" t="str">
        <f>'FT Fee'!K135</f>
        <v/>
      </c>
      <c r="L281" s="448" t="str">
        <f>'FT Fee'!L135</f>
        <v>1a</v>
      </c>
      <c r="M281" s="449">
        <f>'FT Fee'!M135</f>
        <v>114</v>
      </c>
      <c r="N281" s="19">
        <f>'FT Fee'!N135</f>
        <v>0</v>
      </c>
      <c r="O281" s="19" t="str">
        <f>'FT Fee'!O135</f>
        <v>TEF</v>
      </c>
      <c r="P281" s="12" t="str">
        <f>'FT Fee'!O133</f>
        <v>TEF</v>
      </c>
      <c r="Q281" s="12" t="str">
        <f>'FT Fee'!P133</f>
        <v/>
      </c>
      <c r="R281" s="13" t="str">
        <f>'FT Fee'!Q133</f>
        <v>_TEF_</v>
      </c>
      <c r="S281" s="13" t="str">
        <f>'FT Fee'!R133</f>
        <v/>
      </c>
      <c r="T281" s="12" t="str">
        <f>'FT Fee'!S133</f>
        <v/>
      </c>
      <c r="U281" s="12" t="str">
        <f>'FT Fee'!T133</f>
        <v/>
      </c>
      <c r="V281" s="12" t="str">
        <f>'FT Fee'!U133</f>
        <v>NO</v>
      </c>
      <c r="W281" s="14" t="str">
        <f>'FT Fee'!V133</f>
        <v/>
      </c>
      <c r="X281" s="14" t="str">
        <f>'FT Fee'!W133</f>
        <v/>
      </c>
      <c r="Y281" s="14" t="str">
        <f>'FT Fee'!X133</f>
        <v/>
      </c>
      <c r="Z281" s="15" t="str">
        <f>'FT Fee'!Y133</f>
        <v/>
      </c>
    </row>
    <row r="282" spans="1:26" hidden="1" x14ac:dyDescent="0.2">
      <c r="A282" s="16">
        <f>'FT Fee'!A136</f>
        <v>115</v>
      </c>
      <c r="B282" s="444">
        <f>'FT Fee'!B136</f>
        <v>0</v>
      </c>
      <c r="C282" s="444"/>
      <c r="D282" s="444">
        <f>'FT Fee'!D136</f>
        <v>0</v>
      </c>
      <c r="E282" s="446">
        <f>'FT Fee'!D134</f>
        <v>0</v>
      </c>
      <c r="F282" s="11">
        <f>'FT Fee'!G134</f>
        <v>0</v>
      </c>
      <c r="G282" s="20">
        <f>'FT Fee'!H136</f>
        <v>0</v>
      </c>
      <c r="H282" s="455">
        <f>'FT Fee'!I136</f>
        <v>0</v>
      </c>
      <c r="I282" s="445"/>
      <c r="J282" s="455">
        <f>'FT Fee'!I134</f>
        <v>0</v>
      </c>
      <c r="K282" s="445" t="str">
        <f>'FT Fee'!K136</f>
        <v/>
      </c>
      <c r="L282" s="445" t="str">
        <f>'FT Fee'!L136</f>
        <v>1a</v>
      </c>
      <c r="M282" s="446">
        <f>'FT Fee'!M136</f>
        <v>115</v>
      </c>
      <c r="N282" s="20">
        <f>'FT Fee'!N136</f>
        <v>0</v>
      </c>
      <c r="O282" s="20" t="str">
        <f>'FT Fee'!O136</f>
        <v>TEF</v>
      </c>
      <c r="P282" s="12" t="str">
        <f>'FT Fee'!O134</f>
        <v>TEF</v>
      </c>
      <c r="Q282" s="12" t="str">
        <f>'FT Fee'!P134</f>
        <v/>
      </c>
      <c r="R282" s="13" t="str">
        <f>'FT Fee'!Q134</f>
        <v>_TEF_</v>
      </c>
      <c r="S282" s="13" t="str">
        <f>'FT Fee'!R134</f>
        <v/>
      </c>
      <c r="T282" s="12" t="str">
        <f>'FT Fee'!S134</f>
        <v/>
      </c>
      <c r="U282" s="12" t="str">
        <f>'FT Fee'!T134</f>
        <v/>
      </c>
      <c r="V282" s="12" t="str">
        <f>'FT Fee'!U134</f>
        <v>NO</v>
      </c>
      <c r="W282" s="14" t="str">
        <f>'FT Fee'!V134</f>
        <v/>
      </c>
      <c r="X282" s="14" t="str">
        <f>'FT Fee'!W134</f>
        <v/>
      </c>
      <c r="Y282" s="14" t="str">
        <f>'FT Fee'!X134</f>
        <v/>
      </c>
      <c r="Z282" s="15" t="str">
        <f>'FT Fee'!Y134</f>
        <v/>
      </c>
    </row>
    <row r="283" spans="1:26" hidden="1" x14ac:dyDescent="0.2">
      <c r="A283" s="16">
        <f>'FT Fee'!A137</f>
        <v>116</v>
      </c>
      <c r="B283" s="447">
        <f>'FT Fee'!B137</f>
        <v>0</v>
      </c>
      <c r="C283" s="447"/>
      <c r="D283" s="447">
        <f>'FT Fee'!D137</f>
        <v>0</v>
      </c>
      <c r="E283" s="446">
        <f>'FT Fee'!D135</f>
        <v>0</v>
      </c>
      <c r="F283" s="11">
        <f>'FT Fee'!G135</f>
        <v>0</v>
      </c>
      <c r="G283" s="11">
        <f>'FT Fee'!H137</f>
        <v>0</v>
      </c>
      <c r="H283" s="456">
        <f>'FT Fee'!I137</f>
        <v>0</v>
      </c>
      <c r="I283" s="448"/>
      <c r="J283" s="455">
        <f>'FT Fee'!I135</f>
        <v>0</v>
      </c>
      <c r="K283" s="448" t="str">
        <f>'FT Fee'!K137</f>
        <v/>
      </c>
      <c r="L283" s="448" t="str">
        <f>'FT Fee'!L137</f>
        <v>1a</v>
      </c>
      <c r="M283" s="449">
        <f>'FT Fee'!M137</f>
        <v>116</v>
      </c>
      <c r="N283" s="11">
        <f>'FT Fee'!N137</f>
        <v>0</v>
      </c>
      <c r="O283" s="11" t="str">
        <f>'FT Fee'!O137</f>
        <v>TEF</v>
      </c>
      <c r="P283" s="12" t="str">
        <f>'FT Fee'!O135</f>
        <v>TEF</v>
      </c>
      <c r="Q283" s="12" t="str">
        <f>'FT Fee'!P135</f>
        <v/>
      </c>
      <c r="R283" s="13" t="str">
        <f>'FT Fee'!Q135</f>
        <v>_TEF_</v>
      </c>
      <c r="S283" s="13" t="str">
        <f>'FT Fee'!R135</f>
        <v/>
      </c>
      <c r="T283" s="12" t="str">
        <f>'FT Fee'!S135</f>
        <v/>
      </c>
      <c r="U283" s="12" t="str">
        <f>'FT Fee'!T135</f>
        <v/>
      </c>
      <c r="V283" s="12" t="str">
        <f>'FT Fee'!U135</f>
        <v>NO</v>
      </c>
      <c r="W283" s="14" t="str">
        <f>'FT Fee'!V135</f>
        <v/>
      </c>
      <c r="X283" s="14" t="str">
        <f>'FT Fee'!W135</f>
        <v/>
      </c>
      <c r="Y283" s="14" t="str">
        <f>'FT Fee'!X135</f>
        <v/>
      </c>
      <c r="Z283" s="15" t="str">
        <f>'FT Fee'!Y135</f>
        <v/>
      </c>
    </row>
    <row r="284" spans="1:26" hidden="1" x14ac:dyDescent="0.2">
      <c r="A284" s="16">
        <f>'FT Fee'!A138</f>
        <v>117</v>
      </c>
      <c r="B284" s="447">
        <f>'FT Fee'!B138</f>
        <v>0</v>
      </c>
      <c r="C284" s="447"/>
      <c r="D284" s="447">
        <f>'FT Fee'!D138</f>
        <v>0</v>
      </c>
      <c r="E284" s="446">
        <f>'FT Fee'!D136</f>
        <v>0</v>
      </c>
      <c r="F284" s="11">
        <f>'FT Fee'!G136</f>
        <v>0</v>
      </c>
      <c r="G284" s="11">
        <f>'FT Fee'!H138</f>
        <v>0</v>
      </c>
      <c r="H284" s="456">
        <f>'FT Fee'!I138</f>
        <v>0</v>
      </c>
      <c r="I284" s="448"/>
      <c r="J284" s="455">
        <f>'FT Fee'!I136</f>
        <v>0</v>
      </c>
      <c r="K284" s="448" t="str">
        <f>'FT Fee'!K138</f>
        <v/>
      </c>
      <c r="L284" s="448" t="str">
        <f>'FT Fee'!L138</f>
        <v>1a</v>
      </c>
      <c r="M284" s="449">
        <f>'FT Fee'!M138</f>
        <v>117</v>
      </c>
      <c r="N284" s="11">
        <f>'FT Fee'!N138</f>
        <v>0</v>
      </c>
      <c r="O284" s="11" t="str">
        <f>'FT Fee'!O138</f>
        <v>TEF</v>
      </c>
      <c r="P284" s="12" t="str">
        <f>'FT Fee'!O136</f>
        <v>TEF</v>
      </c>
      <c r="Q284" s="12" t="str">
        <f>'FT Fee'!P136</f>
        <v/>
      </c>
      <c r="R284" s="13" t="str">
        <f>'FT Fee'!Q136</f>
        <v>_TEF_</v>
      </c>
      <c r="S284" s="13" t="str">
        <f>'FT Fee'!R136</f>
        <v/>
      </c>
      <c r="T284" s="12" t="str">
        <f>'FT Fee'!S136</f>
        <v/>
      </c>
      <c r="U284" s="12" t="str">
        <f>'FT Fee'!T136</f>
        <v/>
      </c>
      <c r="V284" s="12" t="str">
        <f>'FT Fee'!U136</f>
        <v>NO</v>
      </c>
      <c r="W284" s="14" t="str">
        <f>'FT Fee'!V136</f>
        <v/>
      </c>
      <c r="X284" s="14" t="str">
        <f>'FT Fee'!W136</f>
        <v/>
      </c>
      <c r="Y284" s="14" t="str">
        <f>'FT Fee'!X136</f>
        <v/>
      </c>
      <c r="Z284" s="15" t="str">
        <f>'FT Fee'!Y136</f>
        <v/>
      </c>
    </row>
    <row r="285" spans="1:26" hidden="1" x14ac:dyDescent="0.2">
      <c r="A285" s="16">
        <f>'FT Fee'!A139</f>
        <v>118</v>
      </c>
      <c r="B285" s="447">
        <f>'FT Fee'!B139</f>
        <v>0</v>
      </c>
      <c r="C285" s="447"/>
      <c r="D285" s="447">
        <f>'FT Fee'!D139</f>
        <v>0</v>
      </c>
      <c r="E285" s="446">
        <f>'FT Fee'!D137</f>
        <v>0</v>
      </c>
      <c r="F285" s="11">
        <f>'FT Fee'!G137</f>
        <v>0</v>
      </c>
      <c r="G285" s="19">
        <f>'FT Fee'!H139</f>
        <v>0</v>
      </c>
      <c r="H285" s="456">
        <f>'FT Fee'!I139</f>
        <v>0</v>
      </c>
      <c r="I285" s="448"/>
      <c r="J285" s="455">
        <f>'FT Fee'!I137</f>
        <v>0</v>
      </c>
      <c r="K285" s="448" t="str">
        <f>'FT Fee'!K139</f>
        <v/>
      </c>
      <c r="L285" s="448" t="str">
        <f>'FT Fee'!L139</f>
        <v>1a</v>
      </c>
      <c r="M285" s="449">
        <f>'FT Fee'!M139</f>
        <v>118</v>
      </c>
      <c r="N285" s="19">
        <f>'FT Fee'!N139</f>
        <v>0</v>
      </c>
      <c r="O285" s="19" t="str">
        <f>'FT Fee'!O139</f>
        <v>TEF</v>
      </c>
      <c r="P285" s="12" t="str">
        <f>'FT Fee'!O137</f>
        <v>TEF</v>
      </c>
      <c r="Q285" s="12" t="str">
        <f>'FT Fee'!P137</f>
        <v/>
      </c>
      <c r="R285" s="13" t="str">
        <f>'FT Fee'!Q137</f>
        <v>_TEF_</v>
      </c>
      <c r="S285" s="13" t="str">
        <f>'FT Fee'!R137</f>
        <v/>
      </c>
      <c r="T285" s="12" t="str">
        <f>'FT Fee'!S137</f>
        <v/>
      </c>
      <c r="U285" s="12" t="str">
        <f>'FT Fee'!T137</f>
        <v/>
      </c>
      <c r="V285" s="12" t="str">
        <f>'FT Fee'!U137</f>
        <v>NO</v>
      </c>
      <c r="W285" s="14" t="str">
        <f>'FT Fee'!V137</f>
        <v/>
      </c>
      <c r="X285" s="14" t="str">
        <f>'FT Fee'!W137</f>
        <v/>
      </c>
      <c r="Y285" s="14" t="str">
        <f>'FT Fee'!X137</f>
        <v/>
      </c>
      <c r="Z285" s="15" t="str">
        <f>'FT Fee'!Y137</f>
        <v/>
      </c>
    </row>
    <row r="286" spans="1:26" hidden="1" x14ac:dyDescent="0.2">
      <c r="A286" s="16">
        <f>'FT Fee'!A140</f>
        <v>119</v>
      </c>
      <c r="B286" s="444">
        <f>'FT Fee'!B140</f>
        <v>0</v>
      </c>
      <c r="C286" s="444"/>
      <c r="D286" s="444">
        <f>'FT Fee'!D140</f>
        <v>0</v>
      </c>
      <c r="E286" s="446">
        <f>'FT Fee'!D138</f>
        <v>0</v>
      </c>
      <c r="F286" s="11">
        <f>'FT Fee'!G138</f>
        <v>0</v>
      </c>
      <c r="G286" s="20">
        <f>'FT Fee'!H140</f>
        <v>0</v>
      </c>
      <c r="H286" s="455">
        <f>'FT Fee'!I140</f>
        <v>0</v>
      </c>
      <c r="I286" s="445"/>
      <c r="J286" s="455">
        <f>'FT Fee'!I138</f>
        <v>0</v>
      </c>
      <c r="K286" s="445" t="str">
        <f>'FT Fee'!K140</f>
        <v/>
      </c>
      <c r="L286" s="445" t="str">
        <f>'FT Fee'!L140</f>
        <v>1a</v>
      </c>
      <c r="M286" s="446">
        <f>'FT Fee'!M140</f>
        <v>119</v>
      </c>
      <c r="N286" s="20">
        <f>'FT Fee'!N140</f>
        <v>0</v>
      </c>
      <c r="O286" s="20" t="str">
        <f>'FT Fee'!O140</f>
        <v>TEF</v>
      </c>
      <c r="P286" s="12" t="str">
        <f>'FT Fee'!O138</f>
        <v>TEF</v>
      </c>
      <c r="Q286" s="12" t="str">
        <f>'FT Fee'!P138</f>
        <v/>
      </c>
      <c r="R286" s="13" t="str">
        <f>'FT Fee'!Q138</f>
        <v>_TEF_</v>
      </c>
      <c r="S286" s="13" t="str">
        <f>'FT Fee'!R138</f>
        <v/>
      </c>
      <c r="T286" s="12" t="str">
        <f>'FT Fee'!S138</f>
        <v/>
      </c>
      <c r="U286" s="12" t="str">
        <f>'FT Fee'!T138</f>
        <v/>
      </c>
      <c r="V286" s="12" t="str">
        <f>'FT Fee'!U138</f>
        <v>NO</v>
      </c>
      <c r="W286" s="14" t="str">
        <f>'FT Fee'!V138</f>
        <v/>
      </c>
      <c r="X286" s="14" t="str">
        <f>'FT Fee'!W138</f>
        <v/>
      </c>
      <c r="Y286" s="14" t="str">
        <f>'FT Fee'!X138</f>
        <v/>
      </c>
      <c r="Z286" s="15" t="str">
        <f>'FT Fee'!Y138</f>
        <v/>
      </c>
    </row>
    <row r="287" spans="1:26" hidden="1" x14ac:dyDescent="0.2">
      <c r="A287" s="16">
        <f>'FT Fee'!A141</f>
        <v>120</v>
      </c>
      <c r="B287" s="447">
        <f>'FT Fee'!B141</f>
        <v>0</v>
      </c>
      <c r="C287" s="447"/>
      <c r="D287" s="447">
        <f>'FT Fee'!D141</f>
        <v>0</v>
      </c>
      <c r="E287" s="446">
        <f>'FT Fee'!D139</f>
        <v>0</v>
      </c>
      <c r="F287" s="11">
        <f>'FT Fee'!G139</f>
        <v>0</v>
      </c>
      <c r="G287" s="11">
        <f>'FT Fee'!H141</f>
        <v>0</v>
      </c>
      <c r="H287" s="456">
        <f>'FT Fee'!I141</f>
        <v>0</v>
      </c>
      <c r="I287" s="448"/>
      <c r="J287" s="455">
        <f>'FT Fee'!I139</f>
        <v>0</v>
      </c>
      <c r="K287" s="448" t="str">
        <f>'FT Fee'!K141</f>
        <v/>
      </c>
      <c r="L287" s="448" t="str">
        <f>'FT Fee'!L141</f>
        <v>1a</v>
      </c>
      <c r="M287" s="449">
        <f>'FT Fee'!M141</f>
        <v>120</v>
      </c>
      <c r="N287" s="11">
        <f>'FT Fee'!N141</f>
        <v>0</v>
      </c>
      <c r="O287" s="11" t="str">
        <f>'FT Fee'!O141</f>
        <v>TEF</v>
      </c>
      <c r="P287" s="12" t="str">
        <f>'FT Fee'!O139</f>
        <v>TEF</v>
      </c>
      <c r="Q287" s="12" t="str">
        <f>'FT Fee'!P139</f>
        <v/>
      </c>
      <c r="R287" s="13" t="str">
        <f>'FT Fee'!Q139</f>
        <v>_TEF_</v>
      </c>
      <c r="S287" s="13" t="str">
        <f>'FT Fee'!R139</f>
        <v/>
      </c>
      <c r="T287" s="12" t="str">
        <f>'FT Fee'!S139</f>
        <v/>
      </c>
      <c r="U287" s="12" t="str">
        <f>'FT Fee'!T139</f>
        <v/>
      </c>
      <c r="V287" s="12" t="str">
        <f>'FT Fee'!U139</f>
        <v>NO</v>
      </c>
      <c r="W287" s="14" t="str">
        <f>'FT Fee'!V139</f>
        <v/>
      </c>
      <c r="X287" s="14" t="str">
        <f>'FT Fee'!W139</f>
        <v/>
      </c>
      <c r="Y287" s="14" t="str">
        <f>'FT Fee'!X139</f>
        <v/>
      </c>
      <c r="Z287" s="15" t="str">
        <f>'FT Fee'!Y139</f>
        <v/>
      </c>
    </row>
    <row r="288" spans="1:26" hidden="1" x14ac:dyDescent="0.2">
      <c r="A288" s="16">
        <f>'FT Fee'!A142</f>
        <v>121</v>
      </c>
      <c r="B288" s="447">
        <f>'FT Fee'!B142</f>
        <v>0</v>
      </c>
      <c r="C288" s="447"/>
      <c r="D288" s="447">
        <f>'FT Fee'!D142</f>
        <v>0</v>
      </c>
      <c r="E288" s="446">
        <f>'FT Fee'!D140</f>
        <v>0</v>
      </c>
      <c r="F288" s="11">
        <f>'FT Fee'!G140</f>
        <v>0</v>
      </c>
      <c r="G288" s="11">
        <f>'FT Fee'!H142</f>
        <v>0</v>
      </c>
      <c r="H288" s="456">
        <f>'FT Fee'!I142</f>
        <v>0</v>
      </c>
      <c r="I288" s="448"/>
      <c r="J288" s="455">
        <f>'FT Fee'!I140</f>
        <v>0</v>
      </c>
      <c r="K288" s="448" t="str">
        <f>'FT Fee'!K142</f>
        <v/>
      </c>
      <c r="L288" s="448" t="str">
        <f>'FT Fee'!L142</f>
        <v>1a</v>
      </c>
      <c r="M288" s="449">
        <f>'FT Fee'!M142</f>
        <v>121</v>
      </c>
      <c r="N288" s="11">
        <f>'FT Fee'!N142</f>
        <v>0</v>
      </c>
      <c r="O288" s="11" t="str">
        <f>'FT Fee'!O142</f>
        <v>TEF</v>
      </c>
      <c r="P288" s="12" t="str">
        <f>'FT Fee'!O140</f>
        <v>TEF</v>
      </c>
      <c r="Q288" s="12" t="str">
        <f>'FT Fee'!P140</f>
        <v/>
      </c>
      <c r="R288" s="13" t="str">
        <f>'FT Fee'!Q140</f>
        <v>_TEF_</v>
      </c>
      <c r="S288" s="13" t="str">
        <f>'FT Fee'!R140</f>
        <v/>
      </c>
      <c r="T288" s="12" t="str">
        <f>'FT Fee'!S140</f>
        <v/>
      </c>
      <c r="U288" s="12" t="str">
        <f>'FT Fee'!T140</f>
        <v/>
      </c>
      <c r="V288" s="12" t="str">
        <f>'FT Fee'!U140</f>
        <v>NO</v>
      </c>
      <c r="W288" s="14" t="str">
        <f>'FT Fee'!V140</f>
        <v/>
      </c>
      <c r="X288" s="14" t="str">
        <f>'FT Fee'!W140</f>
        <v/>
      </c>
      <c r="Y288" s="14" t="str">
        <f>'FT Fee'!X140</f>
        <v/>
      </c>
      <c r="Z288" s="15" t="str">
        <f>'FT Fee'!Y140</f>
        <v/>
      </c>
    </row>
    <row r="289" spans="1:26" hidden="1" x14ac:dyDescent="0.2">
      <c r="A289" s="16">
        <f>'FT Fee'!A143</f>
        <v>122</v>
      </c>
      <c r="B289" s="447">
        <f>'FT Fee'!B143</f>
        <v>0</v>
      </c>
      <c r="C289" s="447"/>
      <c r="D289" s="447">
        <f>'FT Fee'!D143</f>
        <v>0</v>
      </c>
      <c r="E289" s="446">
        <f>'FT Fee'!D141</f>
        <v>0</v>
      </c>
      <c r="F289" s="11">
        <f>'FT Fee'!G141</f>
        <v>0</v>
      </c>
      <c r="G289" s="19">
        <f>'FT Fee'!H143</f>
        <v>0</v>
      </c>
      <c r="H289" s="456">
        <f>'FT Fee'!I143</f>
        <v>0</v>
      </c>
      <c r="I289" s="448"/>
      <c r="J289" s="455">
        <f>'FT Fee'!I141</f>
        <v>0</v>
      </c>
      <c r="K289" s="448" t="str">
        <f>'FT Fee'!K143</f>
        <v/>
      </c>
      <c r="L289" s="448" t="str">
        <f>'FT Fee'!L143</f>
        <v>1a</v>
      </c>
      <c r="M289" s="449">
        <f>'FT Fee'!M143</f>
        <v>122</v>
      </c>
      <c r="N289" s="19">
        <f>'FT Fee'!N143</f>
        <v>0</v>
      </c>
      <c r="O289" s="19" t="str">
        <f>'FT Fee'!O143</f>
        <v>TEF</v>
      </c>
      <c r="P289" s="12" t="str">
        <f>'FT Fee'!O141</f>
        <v>TEF</v>
      </c>
      <c r="Q289" s="12" t="str">
        <f>'FT Fee'!P141</f>
        <v/>
      </c>
      <c r="R289" s="13" t="str">
        <f>'FT Fee'!Q141</f>
        <v>_TEF_</v>
      </c>
      <c r="S289" s="13" t="str">
        <f>'FT Fee'!R141</f>
        <v/>
      </c>
      <c r="T289" s="12" t="str">
        <f>'FT Fee'!S141</f>
        <v/>
      </c>
      <c r="U289" s="12" t="str">
        <f>'FT Fee'!T141</f>
        <v/>
      </c>
      <c r="V289" s="12" t="str">
        <f>'FT Fee'!U141</f>
        <v>NO</v>
      </c>
      <c r="W289" s="14" t="str">
        <f>'FT Fee'!V141</f>
        <v/>
      </c>
      <c r="X289" s="14" t="str">
        <f>'FT Fee'!W141</f>
        <v/>
      </c>
      <c r="Y289" s="14" t="str">
        <f>'FT Fee'!X141</f>
        <v/>
      </c>
      <c r="Z289" s="15" t="str">
        <f>'FT Fee'!Y141</f>
        <v/>
      </c>
    </row>
    <row r="290" spans="1:26" hidden="1" x14ac:dyDescent="0.2">
      <c r="A290" s="16">
        <f>'FT Fee'!A144</f>
        <v>123</v>
      </c>
      <c r="B290" s="444">
        <f>'FT Fee'!B144</f>
        <v>0</v>
      </c>
      <c r="C290" s="444"/>
      <c r="D290" s="444">
        <f>'FT Fee'!D144</f>
        <v>0</v>
      </c>
      <c r="E290" s="446">
        <f>'FT Fee'!D142</f>
        <v>0</v>
      </c>
      <c r="F290" s="11">
        <f>'FT Fee'!G142</f>
        <v>0</v>
      </c>
      <c r="G290" s="20">
        <f>'FT Fee'!H144</f>
        <v>0</v>
      </c>
      <c r="H290" s="455">
        <f>'FT Fee'!I144</f>
        <v>0</v>
      </c>
      <c r="I290" s="445"/>
      <c r="J290" s="455">
        <f>'FT Fee'!I142</f>
        <v>0</v>
      </c>
      <c r="K290" s="445" t="str">
        <f>'FT Fee'!K144</f>
        <v/>
      </c>
      <c r="L290" s="445" t="str">
        <f>'FT Fee'!L144</f>
        <v>1a</v>
      </c>
      <c r="M290" s="446">
        <f>'FT Fee'!M144</f>
        <v>123</v>
      </c>
      <c r="N290" s="20">
        <f>'FT Fee'!N144</f>
        <v>0</v>
      </c>
      <c r="O290" s="20" t="str">
        <f>'FT Fee'!O144</f>
        <v>TEF</v>
      </c>
      <c r="P290" s="12" t="str">
        <f>'FT Fee'!O142</f>
        <v>TEF</v>
      </c>
      <c r="Q290" s="12" t="str">
        <f>'FT Fee'!P142</f>
        <v/>
      </c>
      <c r="R290" s="13" t="str">
        <f>'FT Fee'!Q142</f>
        <v>_TEF_</v>
      </c>
      <c r="S290" s="13" t="str">
        <f>'FT Fee'!R142</f>
        <v/>
      </c>
      <c r="T290" s="12" t="str">
        <f>'FT Fee'!S142</f>
        <v/>
      </c>
      <c r="U290" s="12" t="str">
        <f>'FT Fee'!T142</f>
        <v/>
      </c>
      <c r="V290" s="12" t="str">
        <f>'FT Fee'!U142</f>
        <v>NO</v>
      </c>
      <c r="W290" s="14" t="str">
        <f>'FT Fee'!V142</f>
        <v/>
      </c>
      <c r="X290" s="14" t="str">
        <f>'FT Fee'!W142</f>
        <v/>
      </c>
      <c r="Y290" s="14" t="str">
        <f>'FT Fee'!X142</f>
        <v/>
      </c>
      <c r="Z290" s="15" t="str">
        <f>'FT Fee'!Y142</f>
        <v/>
      </c>
    </row>
    <row r="291" spans="1:26" hidden="1" x14ac:dyDescent="0.2">
      <c r="A291" s="16">
        <f>'FT Fee'!A145</f>
        <v>124</v>
      </c>
      <c r="B291" s="447">
        <f>'FT Fee'!B145</f>
        <v>0</v>
      </c>
      <c r="C291" s="447"/>
      <c r="D291" s="447">
        <f>'FT Fee'!D145</f>
        <v>0</v>
      </c>
      <c r="E291" s="446">
        <f>'FT Fee'!D143</f>
        <v>0</v>
      </c>
      <c r="F291" s="11">
        <f>'FT Fee'!G143</f>
        <v>0</v>
      </c>
      <c r="G291" s="11">
        <f>'FT Fee'!H145</f>
        <v>0</v>
      </c>
      <c r="H291" s="456">
        <f>'FT Fee'!I145</f>
        <v>0</v>
      </c>
      <c r="I291" s="448"/>
      <c r="J291" s="455">
        <f>'FT Fee'!I143</f>
        <v>0</v>
      </c>
      <c r="K291" s="448" t="str">
        <f>'FT Fee'!K145</f>
        <v/>
      </c>
      <c r="L291" s="448" t="str">
        <f>'FT Fee'!L145</f>
        <v>1a</v>
      </c>
      <c r="M291" s="449">
        <f>'FT Fee'!M145</f>
        <v>124</v>
      </c>
      <c r="N291" s="11">
        <f>'FT Fee'!N145</f>
        <v>0</v>
      </c>
      <c r="O291" s="11" t="str">
        <f>'FT Fee'!O145</f>
        <v>TEF</v>
      </c>
      <c r="P291" s="12" t="str">
        <f>'FT Fee'!O143</f>
        <v>TEF</v>
      </c>
      <c r="Q291" s="12" t="str">
        <f>'FT Fee'!P143</f>
        <v/>
      </c>
      <c r="R291" s="13" t="str">
        <f>'FT Fee'!Q143</f>
        <v>_TEF_</v>
      </c>
      <c r="S291" s="13" t="str">
        <f>'FT Fee'!R143</f>
        <v/>
      </c>
      <c r="T291" s="12" t="str">
        <f>'FT Fee'!S143</f>
        <v/>
      </c>
      <c r="U291" s="12" t="str">
        <f>'FT Fee'!T143</f>
        <v/>
      </c>
      <c r="V291" s="12" t="str">
        <f>'FT Fee'!U143</f>
        <v>NO</v>
      </c>
      <c r="W291" s="14" t="str">
        <f>'FT Fee'!V143</f>
        <v/>
      </c>
      <c r="X291" s="14" t="str">
        <f>'FT Fee'!W143</f>
        <v/>
      </c>
      <c r="Y291" s="14" t="str">
        <f>'FT Fee'!X143</f>
        <v/>
      </c>
      <c r="Z291" s="15" t="str">
        <f>'FT Fee'!Y143</f>
        <v/>
      </c>
    </row>
    <row r="292" spans="1:26" hidden="1" x14ac:dyDescent="0.2">
      <c r="A292" s="16">
        <f>'FT Fee'!A146</f>
        <v>125</v>
      </c>
      <c r="B292" s="447">
        <f>'FT Fee'!B146</f>
        <v>0</v>
      </c>
      <c r="C292" s="447"/>
      <c r="D292" s="447">
        <f>'FT Fee'!D146</f>
        <v>0</v>
      </c>
      <c r="E292" s="446">
        <f>'FT Fee'!D144</f>
        <v>0</v>
      </c>
      <c r="F292" s="11">
        <f>'FT Fee'!G144</f>
        <v>0</v>
      </c>
      <c r="G292" s="11">
        <f>'FT Fee'!H146</f>
        <v>0</v>
      </c>
      <c r="H292" s="456">
        <f>'FT Fee'!I146</f>
        <v>0</v>
      </c>
      <c r="I292" s="448"/>
      <c r="J292" s="455">
        <f>'FT Fee'!I144</f>
        <v>0</v>
      </c>
      <c r="K292" s="448" t="str">
        <f>'FT Fee'!K146</f>
        <v/>
      </c>
      <c r="L292" s="448" t="str">
        <f>'FT Fee'!L146</f>
        <v>1a</v>
      </c>
      <c r="M292" s="449">
        <f>'FT Fee'!M146</f>
        <v>125</v>
      </c>
      <c r="N292" s="11">
        <f>'FT Fee'!N146</f>
        <v>0</v>
      </c>
      <c r="O292" s="11" t="str">
        <f>'FT Fee'!O146</f>
        <v>TEF</v>
      </c>
      <c r="P292" s="12" t="str">
        <f>'FT Fee'!O144</f>
        <v>TEF</v>
      </c>
      <c r="Q292" s="12" t="str">
        <f>'FT Fee'!P144</f>
        <v/>
      </c>
      <c r="R292" s="13" t="str">
        <f>'FT Fee'!Q144</f>
        <v>_TEF_</v>
      </c>
      <c r="S292" s="13" t="str">
        <f>'FT Fee'!R144</f>
        <v/>
      </c>
      <c r="T292" s="12" t="str">
        <f>'FT Fee'!S144</f>
        <v/>
      </c>
      <c r="U292" s="12" t="str">
        <f>'FT Fee'!T144</f>
        <v/>
      </c>
      <c r="V292" s="12" t="str">
        <f>'FT Fee'!U144</f>
        <v>NO</v>
      </c>
      <c r="W292" s="14" t="str">
        <f>'FT Fee'!V144</f>
        <v/>
      </c>
      <c r="X292" s="14" t="str">
        <f>'FT Fee'!W144</f>
        <v/>
      </c>
      <c r="Y292" s="14" t="str">
        <f>'FT Fee'!X144</f>
        <v/>
      </c>
      <c r="Z292" s="15" t="str">
        <f>'FT Fee'!Y144</f>
        <v/>
      </c>
    </row>
    <row r="293" spans="1:26" hidden="1" x14ac:dyDescent="0.2">
      <c r="A293" s="16">
        <f>'FT Fee'!A147</f>
        <v>126</v>
      </c>
      <c r="B293" s="447">
        <f>'FT Fee'!B147</f>
        <v>0</v>
      </c>
      <c r="C293" s="447"/>
      <c r="D293" s="447">
        <f>'FT Fee'!D147</f>
        <v>0</v>
      </c>
      <c r="E293" s="446">
        <f>'FT Fee'!D145</f>
        <v>0</v>
      </c>
      <c r="F293" s="11">
        <f>'FT Fee'!G145</f>
        <v>0</v>
      </c>
      <c r="G293" s="19">
        <f>'FT Fee'!H147</f>
        <v>0</v>
      </c>
      <c r="H293" s="456">
        <f>'FT Fee'!I147</f>
        <v>0</v>
      </c>
      <c r="I293" s="448"/>
      <c r="J293" s="455">
        <f>'FT Fee'!I145</f>
        <v>0</v>
      </c>
      <c r="K293" s="448" t="str">
        <f>'FT Fee'!K147</f>
        <v/>
      </c>
      <c r="L293" s="448" t="str">
        <f>'FT Fee'!L147</f>
        <v>1a</v>
      </c>
      <c r="M293" s="449">
        <f>'FT Fee'!M147</f>
        <v>126</v>
      </c>
      <c r="N293" s="19">
        <f>'FT Fee'!N147</f>
        <v>0</v>
      </c>
      <c r="O293" s="19" t="str">
        <f>'FT Fee'!O147</f>
        <v>TEF</v>
      </c>
      <c r="P293" s="12" t="str">
        <f>'FT Fee'!O145</f>
        <v>TEF</v>
      </c>
      <c r="Q293" s="12" t="str">
        <f>'FT Fee'!P145</f>
        <v/>
      </c>
      <c r="R293" s="13" t="str">
        <f>'FT Fee'!Q145</f>
        <v>_TEF_</v>
      </c>
      <c r="S293" s="13" t="str">
        <f>'FT Fee'!R145</f>
        <v/>
      </c>
      <c r="T293" s="12" t="str">
        <f>'FT Fee'!S145</f>
        <v/>
      </c>
      <c r="U293" s="12" t="str">
        <f>'FT Fee'!T145</f>
        <v/>
      </c>
      <c r="V293" s="12" t="str">
        <f>'FT Fee'!U145</f>
        <v>NO</v>
      </c>
      <c r="W293" s="14" t="str">
        <f>'FT Fee'!V145</f>
        <v/>
      </c>
      <c r="X293" s="14" t="str">
        <f>'FT Fee'!W145</f>
        <v/>
      </c>
      <c r="Y293" s="14" t="str">
        <f>'FT Fee'!X145</f>
        <v/>
      </c>
      <c r="Z293" s="15" t="str">
        <f>'FT Fee'!Y145</f>
        <v/>
      </c>
    </row>
    <row r="294" spans="1:26" hidden="1" x14ac:dyDescent="0.2">
      <c r="A294" s="16">
        <f>'FT Fee'!A148</f>
        <v>127</v>
      </c>
      <c r="B294" s="444">
        <f>'FT Fee'!B148</f>
        <v>0</v>
      </c>
      <c r="C294" s="444"/>
      <c r="D294" s="444">
        <f>'FT Fee'!D148</f>
        <v>0</v>
      </c>
      <c r="E294" s="446">
        <f>'FT Fee'!D146</f>
        <v>0</v>
      </c>
      <c r="F294" s="11">
        <f>'FT Fee'!G146</f>
        <v>0</v>
      </c>
      <c r="G294" s="20">
        <f>'FT Fee'!H148</f>
        <v>0</v>
      </c>
      <c r="H294" s="455">
        <f>'FT Fee'!I148</f>
        <v>0</v>
      </c>
      <c r="I294" s="445"/>
      <c r="J294" s="455">
        <f>'FT Fee'!I146</f>
        <v>0</v>
      </c>
      <c r="K294" s="445" t="str">
        <f>'FT Fee'!K148</f>
        <v/>
      </c>
      <c r="L294" s="445" t="str">
        <f>'FT Fee'!L148</f>
        <v>1a</v>
      </c>
      <c r="M294" s="446">
        <f>'FT Fee'!M148</f>
        <v>127</v>
      </c>
      <c r="N294" s="20">
        <f>'FT Fee'!N148</f>
        <v>0</v>
      </c>
      <c r="O294" s="20" t="str">
        <f>'FT Fee'!O148</f>
        <v>TEF</v>
      </c>
      <c r="P294" s="12" t="str">
        <f>'FT Fee'!O146</f>
        <v>TEF</v>
      </c>
      <c r="Q294" s="12" t="str">
        <f>'FT Fee'!P146</f>
        <v/>
      </c>
      <c r="R294" s="13" t="str">
        <f>'FT Fee'!Q146</f>
        <v>_TEF_</v>
      </c>
      <c r="S294" s="13" t="str">
        <f>'FT Fee'!R146</f>
        <v/>
      </c>
      <c r="T294" s="12" t="str">
        <f>'FT Fee'!S146</f>
        <v/>
      </c>
      <c r="U294" s="12" t="str">
        <f>'FT Fee'!T146</f>
        <v/>
      </c>
      <c r="V294" s="12" t="str">
        <f>'FT Fee'!U146</f>
        <v>NO</v>
      </c>
      <c r="W294" s="14" t="str">
        <f>'FT Fee'!V146</f>
        <v/>
      </c>
      <c r="X294" s="14" t="str">
        <f>'FT Fee'!W146</f>
        <v/>
      </c>
      <c r="Y294" s="14" t="str">
        <f>'FT Fee'!X146</f>
        <v/>
      </c>
      <c r="Z294" s="15" t="str">
        <f>'FT Fee'!Y146</f>
        <v/>
      </c>
    </row>
    <row r="295" spans="1:26" hidden="1" x14ac:dyDescent="0.2">
      <c r="A295" s="16">
        <f>'FT Fee'!A149</f>
        <v>128</v>
      </c>
      <c r="B295" s="447">
        <f>'FT Fee'!B149</f>
        <v>0</v>
      </c>
      <c r="C295" s="447"/>
      <c r="D295" s="447">
        <f>'FT Fee'!D149</f>
        <v>0</v>
      </c>
      <c r="E295" s="446">
        <f>'FT Fee'!D147</f>
        <v>0</v>
      </c>
      <c r="F295" s="11">
        <f>'FT Fee'!G147</f>
        <v>0</v>
      </c>
      <c r="G295" s="11">
        <f>'FT Fee'!H149</f>
        <v>0</v>
      </c>
      <c r="H295" s="456">
        <f>'FT Fee'!I149</f>
        <v>0</v>
      </c>
      <c r="I295" s="448"/>
      <c r="J295" s="455">
        <f>'FT Fee'!I147</f>
        <v>0</v>
      </c>
      <c r="K295" s="448" t="str">
        <f>'FT Fee'!K149</f>
        <v/>
      </c>
      <c r="L295" s="448" t="str">
        <f>'FT Fee'!L149</f>
        <v>1a</v>
      </c>
      <c r="M295" s="449">
        <f>'FT Fee'!M149</f>
        <v>128</v>
      </c>
      <c r="N295" s="11">
        <f>'FT Fee'!N149</f>
        <v>0</v>
      </c>
      <c r="O295" s="11" t="str">
        <f>'FT Fee'!O149</f>
        <v>TEF</v>
      </c>
      <c r="P295" s="12" t="str">
        <f>'FT Fee'!O147</f>
        <v>TEF</v>
      </c>
      <c r="Q295" s="12" t="str">
        <f>'FT Fee'!P147</f>
        <v/>
      </c>
      <c r="R295" s="13" t="str">
        <f>'FT Fee'!Q147</f>
        <v>_TEF_</v>
      </c>
      <c r="S295" s="13" t="str">
        <f>'FT Fee'!R147</f>
        <v/>
      </c>
      <c r="T295" s="12" t="str">
        <f>'FT Fee'!S147</f>
        <v/>
      </c>
      <c r="U295" s="12" t="str">
        <f>'FT Fee'!T147</f>
        <v/>
      </c>
      <c r="V295" s="12" t="str">
        <f>'FT Fee'!U147</f>
        <v>NO</v>
      </c>
      <c r="W295" s="14" t="str">
        <f>'FT Fee'!V147</f>
        <v/>
      </c>
      <c r="X295" s="14" t="str">
        <f>'FT Fee'!W147</f>
        <v/>
      </c>
      <c r="Y295" s="14" t="str">
        <f>'FT Fee'!X147</f>
        <v/>
      </c>
      <c r="Z295" s="15" t="str">
        <f>'FT Fee'!Y147</f>
        <v/>
      </c>
    </row>
    <row r="296" spans="1:26" hidden="1" x14ac:dyDescent="0.2">
      <c r="A296" s="16">
        <f>'FT Fee'!A150</f>
        <v>129</v>
      </c>
      <c r="B296" s="447">
        <f>'FT Fee'!B150</f>
        <v>0</v>
      </c>
      <c r="C296" s="447"/>
      <c r="D296" s="447">
        <f>'FT Fee'!D150</f>
        <v>0</v>
      </c>
      <c r="E296" s="446">
        <f>'FT Fee'!D148</f>
        <v>0</v>
      </c>
      <c r="F296" s="11">
        <f>'FT Fee'!G148</f>
        <v>0</v>
      </c>
      <c r="G296" s="11">
        <f>'FT Fee'!H150</f>
        <v>0</v>
      </c>
      <c r="H296" s="456">
        <f>'FT Fee'!I150</f>
        <v>0</v>
      </c>
      <c r="I296" s="448"/>
      <c r="J296" s="455">
        <f>'FT Fee'!I148</f>
        <v>0</v>
      </c>
      <c r="K296" s="448" t="str">
        <f>'FT Fee'!K150</f>
        <v/>
      </c>
      <c r="L296" s="448" t="str">
        <f>'FT Fee'!L150</f>
        <v>1a</v>
      </c>
      <c r="M296" s="449">
        <f>'FT Fee'!M150</f>
        <v>129</v>
      </c>
      <c r="N296" s="11">
        <f>'FT Fee'!N150</f>
        <v>0</v>
      </c>
      <c r="O296" s="11" t="str">
        <f>'FT Fee'!O150</f>
        <v>TEF</v>
      </c>
      <c r="P296" s="12" t="str">
        <f>'FT Fee'!O148</f>
        <v>TEF</v>
      </c>
      <c r="Q296" s="12" t="str">
        <f>'FT Fee'!P148</f>
        <v/>
      </c>
      <c r="R296" s="13" t="str">
        <f>'FT Fee'!Q148</f>
        <v>_TEF_</v>
      </c>
      <c r="S296" s="13" t="str">
        <f>'FT Fee'!R148</f>
        <v/>
      </c>
      <c r="T296" s="12" t="str">
        <f>'FT Fee'!S148</f>
        <v/>
      </c>
      <c r="U296" s="12" t="str">
        <f>'FT Fee'!T148</f>
        <v/>
      </c>
      <c r="V296" s="12" t="str">
        <f>'FT Fee'!U148</f>
        <v>NO</v>
      </c>
      <c r="W296" s="14" t="str">
        <f>'FT Fee'!V148</f>
        <v/>
      </c>
      <c r="X296" s="14" t="str">
        <f>'FT Fee'!W148</f>
        <v/>
      </c>
      <c r="Y296" s="14" t="str">
        <f>'FT Fee'!X148</f>
        <v/>
      </c>
      <c r="Z296" s="15" t="str">
        <f>'FT Fee'!Y148</f>
        <v/>
      </c>
    </row>
    <row r="297" spans="1:26" hidden="1" x14ac:dyDescent="0.2">
      <c r="A297" s="16">
        <f>'FT Fee'!A151</f>
        <v>130</v>
      </c>
      <c r="B297" s="447">
        <f>'FT Fee'!B151</f>
        <v>0</v>
      </c>
      <c r="C297" s="447"/>
      <c r="D297" s="447">
        <f>'FT Fee'!D151</f>
        <v>0</v>
      </c>
      <c r="E297" s="446">
        <f>'FT Fee'!D149</f>
        <v>0</v>
      </c>
      <c r="F297" s="11">
        <f>'FT Fee'!G149</f>
        <v>0</v>
      </c>
      <c r="G297" s="19">
        <f>'FT Fee'!H151</f>
        <v>0</v>
      </c>
      <c r="H297" s="456">
        <f>'FT Fee'!I151</f>
        <v>0</v>
      </c>
      <c r="I297" s="448"/>
      <c r="J297" s="455">
        <f>'FT Fee'!I149</f>
        <v>0</v>
      </c>
      <c r="K297" s="448" t="str">
        <f>'FT Fee'!K151</f>
        <v/>
      </c>
      <c r="L297" s="448" t="str">
        <f>'FT Fee'!L151</f>
        <v>1a</v>
      </c>
      <c r="M297" s="449">
        <f>'FT Fee'!M151</f>
        <v>130</v>
      </c>
      <c r="N297" s="19">
        <f>'FT Fee'!N151</f>
        <v>0</v>
      </c>
      <c r="O297" s="19" t="str">
        <f>'FT Fee'!O151</f>
        <v>TEF</v>
      </c>
      <c r="P297" s="12" t="str">
        <f>'FT Fee'!O149</f>
        <v>TEF</v>
      </c>
      <c r="Q297" s="12" t="str">
        <f>'FT Fee'!P149</f>
        <v/>
      </c>
      <c r="R297" s="13" t="str">
        <f>'FT Fee'!Q149</f>
        <v>_TEF_</v>
      </c>
      <c r="S297" s="13" t="str">
        <f>'FT Fee'!R149</f>
        <v/>
      </c>
      <c r="T297" s="12" t="str">
        <f>'FT Fee'!S149</f>
        <v/>
      </c>
      <c r="U297" s="12" t="str">
        <f>'FT Fee'!T149</f>
        <v/>
      </c>
      <c r="V297" s="12" t="str">
        <f>'FT Fee'!U149</f>
        <v>NO</v>
      </c>
      <c r="W297" s="14" t="str">
        <f>'FT Fee'!V149</f>
        <v/>
      </c>
      <c r="X297" s="14" t="str">
        <f>'FT Fee'!W149</f>
        <v/>
      </c>
      <c r="Y297" s="14" t="str">
        <f>'FT Fee'!X149</f>
        <v/>
      </c>
      <c r="Z297" s="15" t="str">
        <f>'FT Fee'!Y149</f>
        <v/>
      </c>
    </row>
    <row r="298" spans="1:26" hidden="1" x14ac:dyDescent="0.2">
      <c r="A298" s="16">
        <f>'FT Fee'!A152</f>
        <v>131</v>
      </c>
      <c r="B298" s="444">
        <f>'FT Fee'!B152</f>
        <v>0</v>
      </c>
      <c r="C298" s="444"/>
      <c r="D298" s="444">
        <f>'FT Fee'!D152</f>
        <v>0</v>
      </c>
      <c r="E298" s="446">
        <f>'FT Fee'!D150</f>
        <v>0</v>
      </c>
      <c r="F298" s="11">
        <f>'FT Fee'!G150</f>
        <v>0</v>
      </c>
      <c r="G298" s="20">
        <f>'FT Fee'!H152</f>
        <v>0</v>
      </c>
      <c r="H298" s="455">
        <f>'FT Fee'!I152</f>
        <v>0</v>
      </c>
      <c r="I298" s="445"/>
      <c r="J298" s="455">
        <f>'FT Fee'!I150</f>
        <v>0</v>
      </c>
      <c r="K298" s="445" t="str">
        <f>'FT Fee'!K152</f>
        <v/>
      </c>
      <c r="L298" s="445" t="str">
        <f>'FT Fee'!L152</f>
        <v>1a</v>
      </c>
      <c r="M298" s="446">
        <f>'FT Fee'!M152</f>
        <v>131</v>
      </c>
      <c r="N298" s="20">
        <f>'FT Fee'!N152</f>
        <v>0</v>
      </c>
      <c r="O298" s="20" t="str">
        <f>'FT Fee'!O152</f>
        <v>TEF</v>
      </c>
      <c r="P298" s="12" t="str">
        <f>'FT Fee'!O150</f>
        <v>TEF</v>
      </c>
      <c r="Q298" s="12" t="str">
        <f>'FT Fee'!P150</f>
        <v/>
      </c>
      <c r="R298" s="13" t="str">
        <f>'FT Fee'!Q150</f>
        <v>_TEF_</v>
      </c>
      <c r="S298" s="13" t="str">
        <f>'FT Fee'!R150</f>
        <v/>
      </c>
      <c r="T298" s="12" t="str">
        <f>'FT Fee'!S150</f>
        <v/>
      </c>
      <c r="U298" s="12" t="str">
        <f>'FT Fee'!T150</f>
        <v/>
      </c>
      <c r="V298" s="12" t="str">
        <f>'FT Fee'!U150</f>
        <v>NO</v>
      </c>
      <c r="W298" s="14" t="str">
        <f>'FT Fee'!V150</f>
        <v/>
      </c>
      <c r="X298" s="14" t="str">
        <f>'FT Fee'!W150</f>
        <v/>
      </c>
      <c r="Y298" s="14" t="str">
        <f>'FT Fee'!X150</f>
        <v/>
      </c>
      <c r="Z298" s="15" t="str">
        <f>'FT Fee'!Y150</f>
        <v/>
      </c>
    </row>
    <row r="299" spans="1:26" hidden="1" x14ac:dyDescent="0.2">
      <c r="A299" s="16">
        <f>'FT Fee'!A153</f>
        <v>132</v>
      </c>
      <c r="B299" s="447">
        <f>'FT Fee'!B153</f>
        <v>0</v>
      </c>
      <c r="C299" s="447"/>
      <c r="D299" s="447">
        <f>'FT Fee'!D153</f>
        <v>0</v>
      </c>
      <c r="E299" s="446">
        <f>'FT Fee'!D151</f>
        <v>0</v>
      </c>
      <c r="F299" s="11">
        <f>'FT Fee'!G151</f>
        <v>0</v>
      </c>
      <c r="G299" s="11">
        <f>'FT Fee'!H153</f>
        <v>0</v>
      </c>
      <c r="H299" s="456">
        <f>'FT Fee'!I153</f>
        <v>0</v>
      </c>
      <c r="I299" s="448"/>
      <c r="J299" s="455">
        <f>'FT Fee'!I151</f>
        <v>0</v>
      </c>
      <c r="K299" s="448" t="str">
        <f>'FT Fee'!K153</f>
        <v/>
      </c>
      <c r="L299" s="448" t="str">
        <f>'FT Fee'!L153</f>
        <v>1a</v>
      </c>
      <c r="M299" s="449">
        <f>'FT Fee'!M153</f>
        <v>132</v>
      </c>
      <c r="N299" s="11">
        <f>'FT Fee'!N153</f>
        <v>0</v>
      </c>
      <c r="O299" s="11" t="str">
        <f>'FT Fee'!O153</f>
        <v>TEF</v>
      </c>
      <c r="P299" s="12" t="str">
        <f>'FT Fee'!O151</f>
        <v>TEF</v>
      </c>
      <c r="Q299" s="12" t="str">
        <f>'FT Fee'!P151</f>
        <v/>
      </c>
      <c r="R299" s="13" t="str">
        <f>'FT Fee'!Q151</f>
        <v>_TEF_</v>
      </c>
      <c r="S299" s="13" t="str">
        <f>'FT Fee'!R151</f>
        <v/>
      </c>
      <c r="T299" s="12" t="str">
        <f>'FT Fee'!S151</f>
        <v/>
      </c>
      <c r="U299" s="12" t="str">
        <f>'FT Fee'!T151</f>
        <v/>
      </c>
      <c r="V299" s="12" t="str">
        <f>'FT Fee'!U151</f>
        <v>NO</v>
      </c>
      <c r="W299" s="14" t="str">
        <f>'FT Fee'!V151</f>
        <v/>
      </c>
      <c r="X299" s="14" t="str">
        <f>'FT Fee'!W151</f>
        <v/>
      </c>
      <c r="Y299" s="14" t="str">
        <f>'FT Fee'!X151</f>
        <v/>
      </c>
      <c r="Z299" s="15" t="str">
        <f>'FT Fee'!Y151</f>
        <v/>
      </c>
    </row>
    <row r="300" spans="1:26" hidden="1" x14ac:dyDescent="0.2">
      <c r="A300" s="16">
        <f>'FT Fee'!A154</f>
        <v>133</v>
      </c>
      <c r="B300" s="447">
        <f>'FT Fee'!B154</f>
        <v>0</v>
      </c>
      <c r="C300" s="447"/>
      <c r="D300" s="447">
        <f>'FT Fee'!D154</f>
        <v>0</v>
      </c>
      <c r="E300" s="446">
        <f>'FT Fee'!D152</f>
        <v>0</v>
      </c>
      <c r="F300" s="11">
        <f>'FT Fee'!G152</f>
        <v>0</v>
      </c>
      <c r="G300" s="11">
        <f>'FT Fee'!H154</f>
        <v>0</v>
      </c>
      <c r="H300" s="456">
        <f>'FT Fee'!I154</f>
        <v>0</v>
      </c>
      <c r="I300" s="448"/>
      <c r="J300" s="455">
        <f>'FT Fee'!I152</f>
        <v>0</v>
      </c>
      <c r="K300" s="448" t="str">
        <f>'FT Fee'!K154</f>
        <v/>
      </c>
      <c r="L300" s="448" t="str">
        <f>'FT Fee'!L154</f>
        <v>1a</v>
      </c>
      <c r="M300" s="449">
        <f>'FT Fee'!M154</f>
        <v>133</v>
      </c>
      <c r="N300" s="11">
        <f>'FT Fee'!N154</f>
        <v>0</v>
      </c>
      <c r="O300" s="11" t="str">
        <f>'FT Fee'!O154</f>
        <v>TEF</v>
      </c>
      <c r="P300" s="12" t="str">
        <f>'FT Fee'!O152</f>
        <v>TEF</v>
      </c>
      <c r="Q300" s="12" t="str">
        <f>'FT Fee'!P152</f>
        <v/>
      </c>
      <c r="R300" s="13" t="str">
        <f>'FT Fee'!Q152</f>
        <v>_TEF_</v>
      </c>
      <c r="S300" s="13" t="str">
        <f>'FT Fee'!R152</f>
        <v/>
      </c>
      <c r="T300" s="12" t="str">
        <f>'FT Fee'!S152</f>
        <v/>
      </c>
      <c r="U300" s="12" t="str">
        <f>'FT Fee'!T152</f>
        <v/>
      </c>
      <c r="V300" s="12" t="str">
        <f>'FT Fee'!U152</f>
        <v>NO</v>
      </c>
      <c r="W300" s="14" t="str">
        <f>'FT Fee'!V152</f>
        <v/>
      </c>
      <c r="X300" s="14" t="str">
        <f>'FT Fee'!W152</f>
        <v/>
      </c>
      <c r="Y300" s="14" t="str">
        <f>'FT Fee'!X152</f>
        <v/>
      </c>
      <c r="Z300" s="15" t="str">
        <f>'FT Fee'!Y152</f>
        <v/>
      </c>
    </row>
    <row r="301" spans="1:26" hidden="1" x14ac:dyDescent="0.2">
      <c r="A301" s="16">
        <f>'FT Fee'!A155</f>
        <v>134</v>
      </c>
      <c r="B301" s="447">
        <f>'FT Fee'!B155</f>
        <v>0</v>
      </c>
      <c r="C301" s="447"/>
      <c r="D301" s="447">
        <f>'FT Fee'!D155</f>
        <v>0</v>
      </c>
      <c r="E301" s="446">
        <f>'FT Fee'!D153</f>
        <v>0</v>
      </c>
      <c r="F301" s="11">
        <f>'FT Fee'!G153</f>
        <v>0</v>
      </c>
      <c r="G301" s="19">
        <f>'FT Fee'!H155</f>
        <v>0</v>
      </c>
      <c r="H301" s="456">
        <f>'FT Fee'!I155</f>
        <v>0</v>
      </c>
      <c r="I301" s="448"/>
      <c r="J301" s="455">
        <f>'FT Fee'!I153</f>
        <v>0</v>
      </c>
      <c r="K301" s="448" t="str">
        <f>'FT Fee'!K155</f>
        <v/>
      </c>
      <c r="L301" s="448" t="str">
        <f>'FT Fee'!L155</f>
        <v>1a</v>
      </c>
      <c r="M301" s="449">
        <f>'FT Fee'!M155</f>
        <v>134</v>
      </c>
      <c r="N301" s="19">
        <f>'FT Fee'!N155</f>
        <v>0</v>
      </c>
      <c r="O301" s="19" t="str">
        <f>'FT Fee'!O155</f>
        <v>TEF</v>
      </c>
      <c r="P301" s="12" t="str">
        <f>'FT Fee'!O153</f>
        <v>TEF</v>
      </c>
      <c r="Q301" s="12" t="str">
        <f>'FT Fee'!P153</f>
        <v/>
      </c>
      <c r="R301" s="13" t="str">
        <f>'FT Fee'!Q153</f>
        <v>_TEF_</v>
      </c>
      <c r="S301" s="13" t="str">
        <f>'FT Fee'!R153</f>
        <v/>
      </c>
      <c r="T301" s="12" t="str">
        <f>'FT Fee'!S153</f>
        <v/>
      </c>
      <c r="U301" s="12" t="str">
        <f>'FT Fee'!T153</f>
        <v/>
      </c>
      <c r="V301" s="12" t="str">
        <f>'FT Fee'!U153</f>
        <v>NO</v>
      </c>
      <c r="W301" s="14" t="str">
        <f>'FT Fee'!V153</f>
        <v/>
      </c>
      <c r="X301" s="14" t="str">
        <f>'FT Fee'!W153</f>
        <v/>
      </c>
      <c r="Y301" s="14" t="str">
        <f>'FT Fee'!X153</f>
        <v/>
      </c>
      <c r="Z301" s="15" t="str">
        <f>'FT Fee'!Y153</f>
        <v/>
      </c>
    </row>
    <row r="302" spans="1:26" hidden="1" x14ac:dyDescent="0.2">
      <c r="A302" s="16">
        <f>'FT Fee'!A156</f>
        <v>135</v>
      </c>
      <c r="B302" s="444">
        <f>'FT Fee'!B156</f>
        <v>0</v>
      </c>
      <c r="C302" s="444"/>
      <c r="D302" s="444">
        <f>'FT Fee'!D156</f>
        <v>0</v>
      </c>
      <c r="E302" s="446">
        <f>'FT Fee'!D154</f>
        <v>0</v>
      </c>
      <c r="F302" s="11">
        <f>'FT Fee'!G154</f>
        <v>0</v>
      </c>
      <c r="G302" s="20">
        <f>'FT Fee'!H156</f>
        <v>0</v>
      </c>
      <c r="H302" s="455">
        <f>'FT Fee'!I156</f>
        <v>0</v>
      </c>
      <c r="I302" s="445"/>
      <c r="J302" s="455">
        <f>'FT Fee'!I154</f>
        <v>0</v>
      </c>
      <c r="K302" s="445" t="str">
        <f>'FT Fee'!K156</f>
        <v/>
      </c>
      <c r="L302" s="445" t="str">
        <f>'FT Fee'!L156</f>
        <v>1a</v>
      </c>
      <c r="M302" s="446">
        <f>'FT Fee'!M156</f>
        <v>135</v>
      </c>
      <c r="N302" s="20">
        <f>'FT Fee'!N156</f>
        <v>0</v>
      </c>
      <c r="O302" s="20" t="str">
        <f>'FT Fee'!O156</f>
        <v>TEF</v>
      </c>
      <c r="P302" s="12" t="str">
        <f>'FT Fee'!O154</f>
        <v>TEF</v>
      </c>
      <c r="Q302" s="12" t="str">
        <f>'FT Fee'!P154</f>
        <v/>
      </c>
      <c r="R302" s="13" t="str">
        <f>'FT Fee'!Q154</f>
        <v>_TEF_</v>
      </c>
      <c r="S302" s="13" t="str">
        <f>'FT Fee'!R154</f>
        <v/>
      </c>
      <c r="T302" s="12" t="str">
        <f>'FT Fee'!S154</f>
        <v/>
      </c>
      <c r="U302" s="12" t="str">
        <f>'FT Fee'!T154</f>
        <v/>
      </c>
      <c r="V302" s="12" t="str">
        <f>'FT Fee'!U154</f>
        <v>NO</v>
      </c>
      <c r="W302" s="14" t="str">
        <f>'FT Fee'!V154</f>
        <v/>
      </c>
      <c r="X302" s="14" t="str">
        <f>'FT Fee'!W154</f>
        <v/>
      </c>
      <c r="Y302" s="14" t="str">
        <f>'FT Fee'!X154</f>
        <v/>
      </c>
      <c r="Z302" s="15" t="str">
        <f>'FT Fee'!Y154</f>
        <v/>
      </c>
    </row>
    <row r="303" spans="1:26" hidden="1" x14ac:dyDescent="0.2">
      <c r="A303" s="16">
        <f>'FT Fee'!A157</f>
        <v>136</v>
      </c>
      <c r="B303" s="447">
        <f>'FT Fee'!B157</f>
        <v>0</v>
      </c>
      <c r="C303" s="447"/>
      <c r="D303" s="447">
        <f>'FT Fee'!D157</f>
        <v>0</v>
      </c>
      <c r="E303" s="446">
        <f>'FT Fee'!D155</f>
        <v>0</v>
      </c>
      <c r="F303" s="11">
        <f>'FT Fee'!G155</f>
        <v>0</v>
      </c>
      <c r="G303" s="11">
        <f>'FT Fee'!H157</f>
        <v>0</v>
      </c>
      <c r="H303" s="456">
        <f>'FT Fee'!I157</f>
        <v>0</v>
      </c>
      <c r="I303" s="448"/>
      <c r="J303" s="455">
        <f>'FT Fee'!I155</f>
        <v>0</v>
      </c>
      <c r="K303" s="448" t="str">
        <f>'FT Fee'!K157</f>
        <v/>
      </c>
      <c r="L303" s="448" t="str">
        <f>'FT Fee'!L157</f>
        <v>1a</v>
      </c>
      <c r="M303" s="449">
        <f>'FT Fee'!M157</f>
        <v>136</v>
      </c>
      <c r="N303" s="11">
        <f>'FT Fee'!N157</f>
        <v>0</v>
      </c>
      <c r="O303" s="11" t="str">
        <f>'FT Fee'!O157</f>
        <v>TEF</v>
      </c>
      <c r="P303" s="12" t="str">
        <f>'FT Fee'!O155</f>
        <v>TEF</v>
      </c>
      <c r="Q303" s="12" t="str">
        <f>'FT Fee'!P155</f>
        <v/>
      </c>
      <c r="R303" s="13" t="str">
        <f>'FT Fee'!Q155</f>
        <v>_TEF_</v>
      </c>
      <c r="S303" s="13" t="str">
        <f>'FT Fee'!R155</f>
        <v/>
      </c>
      <c r="T303" s="12" t="str">
        <f>'FT Fee'!S155</f>
        <v/>
      </c>
      <c r="U303" s="12" t="str">
        <f>'FT Fee'!T155</f>
        <v/>
      </c>
      <c r="V303" s="12" t="str">
        <f>'FT Fee'!U155</f>
        <v>NO</v>
      </c>
      <c r="W303" s="14" t="str">
        <f>'FT Fee'!V155</f>
        <v/>
      </c>
      <c r="X303" s="14" t="str">
        <f>'FT Fee'!W155</f>
        <v/>
      </c>
      <c r="Y303" s="14" t="str">
        <f>'FT Fee'!X155</f>
        <v/>
      </c>
      <c r="Z303" s="15" t="str">
        <f>'FT Fee'!Y155</f>
        <v/>
      </c>
    </row>
    <row r="304" spans="1:26" hidden="1" x14ac:dyDescent="0.2">
      <c r="A304" s="16">
        <f>'FT Fee'!A158</f>
        <v>137</v>
      </c>
      <c r="B304" s="447">
        <f>'FT Fee'!B158</f>
        <v>0</v>
      </c>
      <c r="C304" s="447"/>
      <c r="D304" s="447">
        <f>'FT Fee'!D158</f>
        <v>0</v>
      </c>
      <c r="E304" s="446">
        <f>'FT Fee'!D156</f>
        <v>0</v>
      </c>
      <c r="F304" s="11">
        <f>'FT Fee'!G156</f>
        <v>0</v>
      </c>
      <c r="G304" s="11">
        <f>'FT Fee'!H158</f>
        <v>0</v>
      </c>
      <c r="H304" s="456">
        <f>'FT Fee'!I158</f>
        <v>0</v>
      </c>
      <c r="I304" s="448"/>
      <c r="J304" s="455">
        <f>'FT Fee'!I156</f>
        <v>0</v>
      </c>
      <c r="K304" s="448" t="str">
        <f>'FT Fee'!K158</f>
        <v/>
      </c>
      <c r="L304" s="448" t="str">
        <f>'FT Fee'!L158</f>
        <v>1a</v>
      </c>
      <c r="M304" s="449">
        <f>'FT Fee'!M158</f>
        <v>137</v>
      </c>
      <c r="N304" s="11">
        <f>'FT Fee'!N158</f>
        <v>0</v>
      </c>
      <c r="O304" s="11" t="str">
        <f>'FT Fee'!O158</f>
        <v>TEF</v>
      </c>
      <c r="P304" s="12" t="str">
        <f>'FT Fee'!O156</f>
        <v>TEF</v>
      </c>
      <c r="Q304" s="12" t="str">
        <f>'FT Fee'!P156</f>
        <v/>
      </c>
      <c r="R304" s="13" t="str">
        <f>'FT Fee'!Q156</f>
        <v>_TEF_</v>
      </c>
      <c r="S304" s="13" t="str">
        <f>'FT Fee'!R156</f>
        <v/>
      </c>
      <c r="T304" s="12" t="str">
        <f>'FT Fee'!S156</f>
        <v/>
      </c>
      <c r="U304" s="12" t="str">
        <f>'FT Fee'!T156</f>
        <v/>
      </c>
      <c r="V304" s="12" t="str">
        <f>'FT Fee'!U156</f>
        <v>NO</v>
      </c>
      <c r="W304" s="14" t="str">
        <f>'FT Fee'!V156</f>
        <v/>
      </c>
      <c r="X304" s="14" t="str">
        <f>'FT Fee'!W156</f>
        <v/>
      </c>
      <c r="Y304" s="14" t="str">
        <f>'FT Fee'!X156</f>
        <v/>
      </c>
      <c r="Z304" s="15" t="str">
        <f>'FT Fee'!Y156</f>
        <v/>
      </c>
    </row>
    <row r="305" spans="1:26" hidden="1" x14ac:dyDescent="0.2">
      <c r="A305" s="16">
        <f>'FT Fee'!A159</f>
        <v>138</v>
      </c>
      <c r="B305" s="447">
        <f>'FT Fee'!B159</f>
        <v>0</v>
      </c>
      <c r="C305" s="447"/>
      <c r="D305" s="447">
        <f>'FT Fee'!D159</f>
        <v>0</v>
      </c>
      <c r="E305" s="446">
        <f>'FT Fee'!D157</f>
        <v>0</v>
      </c>
      <c r="F305" s="11">
        <f>'FT Fee'!G157</f>
        <v>0</v>
      </c>
      <c r="G305" s="19">
        <f>'FT Fee'!H159</f>
        <v>0</v>
      </c>
      <c r="H305" s="456">
        <f>'FT Fee'!I159</f>
        <v>0</v>
      </c>
      <c r="I305" s="448"/>
      <c r="J305" s="455">
        <f>'FT Fee'!I157</f>
        <v>0</v>
      </c>
      <c r="K305" s="448" t="str">
        <f>'FT Fee'!K159</f>
        <v/>
      </c>
      <c r="L305" s="448" t="str">
        <f>'FT Fee'!L159</f>
        <v>1a</v>
      </c>
      <c r="M305" s="449">
        <f>'FT Fee'!M159</f>
        <v>138</v>
      </c>
      <c r="N305" s="19">
        <f>'FT Fee'!N159</f>
        <v>0</v>
      </c>
      <c r="O305" s="19" t="str">
        <f>'FT Fee'!O159</f>
        <v>TEF</v>
      </c>
      <c r="P305" s="12" t="str">
        <f>'FT Fee'!O157</f>
        <v>TEF</v>
      </c>
      <c r="Q305" s="12" t="str">
        <f>'FT Fee'!P157</f>
        <v/>
      </c>
      <c r="R305" s="13" t="str">
        <f>'FT Fee'!Q157</f>
        <v>_TEF_</v>
      </c>
      <c r="S305" s="13" t="str">
        <f>'FT Fee'!R157</f>
        <v/>
      </c>
      <c r="T305" s="12" t="str">
        <f>'FT Fee'!S157</f>
        <v/>
      </c>
      <c r="U305" s="12" t="str">
        <f>'FT Fee'!T157</f>
        <v/>
      </c>
      <c r="V305" s="12" t="str">
        <f>'FT Fee'!U157</f>
        <v>NO</v>
      </c>
      <c r="W305" s="14" t="str">
        <f>'FT Fee'!V157</f>
        <v/>
      </c>
      <c r="X305" s="14" t="str">
        <f>'FT Fee'!W157</f>
        <v/>
      </c>
      <c r="Y305" s="14" t="str">
        <f>'FT Fee'!X157</f>
        <v/>
      </c>
      <c r="Z305" s="15" t="str">
        <f>'FT Fee'!Y157</f>
        <v/>
      </c>
    </row>
    <row r="306" spans="1:26" hidden="1" x14ac:dyDescent="0.2">
      <c r="A306" s="16">
        <f>'FT Fee'!A160</f>
        <v>139</v>
      </c>
      <c r="B306" s="444">
        <f>'FT Fee'!B160</f>
        <v>0</v>
      </c>
      <c r="C306" s="444"/>
      <c r="D306" s="444">
        <f>'FT Fee'!D160</f>
        <v>0</v>
      </c>
      <c r="E306" s="446">
        <f>'FT Fee'!D158</f>
        <v>0</v>
      </c>
      <c r="F306" s="11">
        <f>'FT Fee'!G158</f>
        <v>0</v>
      </c>
      <c r="G306" s="20">
        <f>'FT Fee'!H160</f>
        <v>0</v>
      </c>
      <c r="H306" s="455">
        <f>'FT Fee'!I160</f>
        <v>0</v>
      </c>
      <c r="I306" s="445"/>
      <c r="J306" s="455">
        <f>'FT Fee'!I158</f>
        <v>0</v>
      </c>
      <c r="K306" s="445" t="str">
        <f>'FT Fee'!K160</f>
        <v/>
      </c>
      <c r="L306" s="445" t="str">
        <f>'FT Fee'!L160</f>
        <v>1a</v>
      </c>
      <c r="M306" s="446">
        <f>'FT Fee'!M160</f>
        <v>139</v>
      </c>
      <c r="N306" s="20">
        <f>'FT Fee'!N160</f>
        <v>0</v>
      </c>
      <c r="O306" s="20" t="str">
        <f>'FT Fee'!O160</f>
        <v>TEF</v>
      </c>
      <c r="P306" s="12" t="str">
        <f>'FT Fee'!O158</f>
        <v>TEF</v>
      </c>
      <c r="Q306" s="12" t="str">
        <f>'FT Fee'!P158</f>
        <v/>
      </c>
      <c r="R306" s="13" t="str">
        <f>'FT Fee'!Q158</f>
        <v>_TEF_</v>
      </c>
      <c r="S306" s="13" t="str">
        <f>'FT Fee'!R158</f>
        <v/>
      </c>
      <c r="T306" s="12" t="str">
        <f>'FT Fee'!S158</f>
        <v/>
      </c>
      <c r="U306" s="12" t="str">
        <f>'FT Fee'!T158</f>
        <v/>
      </c>
      <c r="V306" s="12" t="str">
        <f>'FT Fee'!U158</f>
        <v>NO</v>
      </c>
      <c r="W306" s="14" t="str">
        <f>'FT Fee'!V158</f>
        <v/>
      </c>
      <c r="X306" s="14" t="str">
        <f>'FT Fee'!W158</f>
        <v/>
      </c>
      <c r="Y306" s="14" t="str">
        <f>'FT Fee'!X158</f>
        <v/>
      </c>
      <c r="Z306" s="15" t="str">
        <f>'FT Fee'!Y158</f>
        <v/>
      </c>
    </row>
    <row r="307" spans="1:26" hidden="1" x14ac:dyDescent="0.2">
      <c r="A307" s="16">
        <f>'FT Fee'!A161</f>
        <v>140</v>
      </c>
      <c r="B307" s="447">
        <f>'FT Fee'!B161</f>
        <v>0</v>
      </c>
      <c r="C307" s="447"/>
      <c r="D307" s="447">
        <f>'FT Fee'!D161</f>
        <v>0</v>
      </c>
      <c r="E307" s="446">
        <f>'FT Fee'!D159</f>
        <v>0</v>
      </c>
      <c r="F307" s="11">
        <f>'FT Fee'!G159</f>
        <v>0</v>
      </c>
      <c r="G307" s="11">
        <f>'FT Fee'!H161</f>
        <v>0</v>
      </c>
      <c r="H307" s="456">
        <f>'FT Fee'!I161</f>
        <v>0</v>
      </c>
      <c r="I307" s="448"/>
      <c r="J307" s="455">
        <f>'FT Fee'!I159</f>
        <v>0</v>
      </c>
      <c r="K307" s="448" t="str">
        <f>'FT Fee'!K161</f>
        <v/>
      </c>
      <c r="L307" s="448" t="str">
        <f>'FT Fee'!L161</f>
        <v>1a</v>
      </c>
      <c r="M307" s="449">
        <f>'FT Fee'!M161</f>
        <v>140</v>
      </c>
      <c r="N307" s="11">
        <f>'FT Fee'!N161</f>
        <v>0</v>
      </c>
      <c r="O307" s="11" t="str">
        <f>'FT Fee'!O161</f>
        <v>TEF</v>
      </c>
      <c r="P307" s="12" t="str">
        <f>'FT Fee'!O159</f>
        <v>TEF</v>
      </c>
      <c r="Q307" s="12" t="str">
        <f>'FT Fee'!P159</f>
        <v/>
      </c>
      <c r="R307" s="13" t="str">
        <f>'FT Fee'!Q159</f>
        <v>_TEF_</v>
      </c>
      <c r="S307" s="13" t="str">
        <f>'FT Fee'!R159</f>
        <v/>
      </c>
      <c r="T307" s="12" t="str">
        <f>'FT Fee'!S159</f>
        <v/>
      </c>
      <c r="U307" s="12" t="str">
        <f>'FT Fee'!T159</f>
        <v/>
      </c>
      <c r="V307" s="12" t="str">
        <f>'FT Fee'!U159</f>
        <v>NO</v>
      </c>
      <c r="W307" s="14" t="str">
        <f>'FT Fee'!V159</f>
        <v/>
      </c>
      <c r="X307" s="14" t="str">
        <f>'FT Fee'!W159</f>
        <v/>
      </c>
      <c r="Y307" s="14" t="str">
        <f>'FT Fee'!X159</f>
        <v/>
      </c>
      <c r="Z307" s="15" t="str">
        <f>'FT Fee'!Y159</f>
        <v/>
      </c>
    </row>
    <row r="308" spans="1:26" hidden="1" x14ac:dyDescent="0.2">
      <c r="A308" s="16">
        <f>'FT Fee'!A162</f>
        <v>141</v>
      </c>
      <c r="B308" s="447">
        <f>'FT Fee'!B162</f>
        <v>0</v>
      </c>
      <c r="C308" s="447"/>
      <c r="D308" s="447">
        <f>'FT Fee'!D162</f>
        <v>0</v>
      </c>
      <c r="E308" s="446">
        <f>'FT Fee'!D160</f>
        <v>0</v>
      </c>
      <c r="F308" s="11">
        <f>'FT Fee'!G160</f>
        <v>0</v>
      </c>
      <c r="G308" s="11">
        <f>'FT Fee'!H162</f>
        <v>0</v>
      </c>
      <c r="H308" s="456">
        <f>'FT Fee'!I162</f>
        <v>0</v>
      </c>
      <c r="I308" s="448"/>
      <c r="J308" s="455">
        <f>'FT Fee'!I160</f>
        <v>0</v>
      </c>
      <c r="K308" s="448" t="str">
        <f>'FT Fee'!K162</f>
        <v/>
      </c>
      <c r="L308" s="448" t="str">
        <f>'FT Fee'!L162</f>
        <v>1a</v>
      </c>
      <c r="M308" s="449">
        <f>'FT Fee'!M162</f>
        <v>141</v>
      </c>
      <c r="N308" s="11">
        <f>'FT Fee'!N162</f>
        <v>0</v>
      </c>
      <c r="O308" s="11" t="str">
        <f>'FT Fee'!O162</f>
        <v>TEF</v>
      </c>
      <c r="P308" s="12" t="str">
        <f>'FT Fee'!O160</f>
        <v>TEF</v>
      </c>
      <c r="Q308" s="12" t="str">
        <f>'FT Fee'!P160</f>
        <v/>
      </c>
      <c r="R308" s="13" t="str">
        <f>'FT Fee'!Q160</f>
        <v>_TEF_</v>
      </c>
      <c r="S308" s="13" t="str">
        <f>'FT Fee'!R160</f>
        <v/>
      </c>
      <c r="T308" s="12" t="str">
        <f>'FT Fee'!S160</f>
        <v/>
      </c>
      <c r="U308" s="12" t="str">
        <f>'FT Fee'!T160</f>
        <v/>
      </c>
      <c r="V308" s="12" t="str">
        <f>'FT Fee'!U160</f>
        <v>NO</v>
      </c>
      <c r="W308" s="14" t="str">
        <f>'FT Fee'!V160</f>
        <v/>
      </c>
      <c r="X308" s="14" t="str">
        <f>'FT Fee'!W160</f>
        <v/>
      </c>
      <c r="Y308" s="14" t="str">
        <f>'FT Fee'!X160</f>
        <v/>
      </c>
      <c r="Z308" s="15" t="str">
        <f>'FT Fee'!Y160</f>
        <v/>
      </c>
    </row>
    <row r="309" spans="1:26" hidden="1" x14ac:dyDescent="0.2">
      <c r="A309" s="16">
        <f>'FT Fee'!A163</f>
        <v>142</v>
      </c>
      <c r="B309" s="447">
        <f>'FT Fee'!B163</f>
        <v>0</v>
      </c>
      <c r="C309" s="447"/>
      <c r="D309" s="447">
        <f>'FT Fee'!D163</f>
        <v>0</v>
      </c>
      <c r="E309" s="446">
        <f>'FT Fee'!D161</f>
        <v>0</v>
      </c>
      <c r="F309" s="11">
        <f>'FT Fee'!G161</f>
        <v>0</v>
      </c>
      <c r="G309" s="19">
        <f>'FT Fee'!H163</f>
        <v>0</v>
      </c>
      <c r="H309" s="456">
        <f>'FT Fee'!I163</f>
        <v>0</v>
      </c>
      <c r="I309" s="448"/>
      <c r="J309" s="455">
        <f>'FT Fee'!I161</f>
        <v>0</v>
      </c>
      <c r="K309" s="448" t="str">
        <f>'FT Fee'!K163</f>
        <v/>
      </c>
      <c r="L309" s="448" t="str">
        <f>'FT Fee'!L163</f>
        <v>1a</v>
      </c>
      <c r="M309" s="449">
        <f>'FT Fee'!M163</f>
        <v>142</v>
      </c>
      <c r="N309" s="19">
        <f>'FT Fee'!N163</f>
        <v>0</v>
      </c>
      <c r="O309" s="19" t="str">
        <f>'FT Fee'!O163</f>
        <v>TEF</v>
      </c>
      <c r="P309" s="12" t="str">
        <f>'FT Fee'!O161</f>
        <v>TEF</v>
      </c>
      <c r="Q309" s="12" t="str">
        <f>'FT Fee'!P161</f>
        <v/>
      </c>
      <c r="R309" s="13" t="str">
        <f>'FT Fee'!Q161</f>
        <v>_TEF_</v>
      </c>
      <c r="S309" s="13" t="str">
        <f>'FT Fee'!R161</f>
        <v/>
      </c>
      <c r="T309" s="12" t="str">
        <f>'FT Fee'!S161</f>
        <v/>
      </c>
      <c r="U309" s="12" t="str">
        <f>'FT Fee'!T161</f>
        <v/>
      </c>
      <c r="V309" s="12" t="str">
        <f>'FT Fee'!U161</f>
        <v>NO</v>
      </c>
      <c r="W309" s="14" t="str">
        <f>'FT Fee'!V161</f>
        <v/>
      </c>
      <c r="X309" s="14" t="str">
        <f>'FT Fee'!W161</f>
        <v/>
      </c>
      <c r="Y309" s="14" t="str">
        <f>'FT Fee'!X161</f>
        <v/>
      </c>
      <c r="Z309" s="15" t="str">
        <f>'FT Fee'!Y161</f>
        <v/>
      </c>
    </row>
    <row r="310" spans="1:26" hidden="1" x14ac:dyDescent="0.2">
      <c r="A310" s="16">
        <f>'FT Fee'!A164</f>
        <v>143</v>
      </c>
      <c r="B310" s="444">
        <f>'FT Fee'!B164</f>
        <v>0</v>
      </c>
      <c r="C310" s="444"/>
      <c r="D310" s="444">
        <f>'FT Fee'!D164</f>
        <v>0</v>
      </c>
      <c r="E310" s="446">
        <f>'FT Fee'!D162</f>
        <v>0</v>
      </c>
      <c r="F310" s="11">
        <f>'FT Fee'!G162</f>
        <v>0</v>
      </c>
      <c r="G310" s="20">
        <f>'FT Fee'!H164</f>
        <v>0</v>
      </c>
      <c r="H310" s="455">
        <f>'FT Fee'!I164</f>
        <v>0</v>
      </c>
      <c r="I310" s="445"/>
      <c r="J310" s="455">
        <f>'FT Fee'!I162</f>
        <v>0</v>
      </c>
      <c r="K310" s="445" t="str">
        <f>'FT Fee'!K164</f>
        <v/>
      </c>
      <c r="L310" s="445" t="str">
        <f>'FT Fee'!L164</f>
        <v>1a</v>
      </c>
      <c r="M310" s="446">
        <f>'FT Fee'!M164</f>
        <v>143</v>
      </c>
      <c r="N310" s="20">
        <f>'FT Fee'!N164</f>
        <v>0</v>
      </c>
      <c r="O310" s="20" t="str">
        <f>'FT Fee'!O164</f>
        <v>TEF</v>
      </c>
      <c r="P310" s="12" t="str">
        <f>'FT Fee'!O162</f>
        <v>TEF</v>
      </c>
      <c r="Q310" s="12" t="str">
        <f>'FT Fee'!P162</f>
        <v/>
      </c>
      <c r="R310" s="13" t="str">
        <f>'FT Fee'!Q162</f>
        <v>_TEF_</v>
      </c>
      <c r="S310" s="13" t="str">
        <f>'FT Fee'!R162</f>
        <v/>
      </c>
      <c r="T310" s="12" t="str">
        <f>'FT Fee'!S162</f>
        <v/>
      </c>
      <c r="U310" s="12" t="str">
        <f>'FT Fee'!T162</f>
        <v/>
      </c>
      <c r="V310" s="12" t="str">
        <f>'FT Fee'!U162</f>
        <v>NO</v>
      </c>
      <c r="W310" s="14" t="str">
        <f>'FT Fee'!V162</f>
        <v/>
      </c>
      <c r="X310" s="14" t="str">
        <f>'FT Fee'!W162</f>
        <v/>
      </c>
      <c r="Y310" s="14" t="str">
        <f>'FT Fee'!X162</f>
        <v/>
      </c>
      <c r="Z310" s="15" t="str">
        <f>'FT Fee'!Y162</f>
        <v/>
      </c>
    </row>
    <row r="311" spans="1:26" hidden="1" x14ac:dyDescent="0.2">
      <c r="A311" s="16">
        <f>'FT Fee'!A165</f>
        <v>144</v>
      </c>
      <c r="B311" s="447">
        <f>'FT Fee'!B165</f>
        <v>0</v>
      </c>
      <c r="C311" s="447"/>
      <c r="D311" s="447">
        <f>'FT Fee'!D165</f>
        <v>0</v>
      </c>
      <c r="E311" s="446">
        <f>'FT Fee'!D163</f>
        <v>0</v>
      </c>
      <c r="F311" s="11">
        <f>'FT Fee'!G163</f>
        <v>0</v>
      </c>
      <c r="G311" s="11">
        <f>'FT Fee'!H165</f>
        <v>0</v>
      </c>
      <c r="H311" s="456">
        <f>'FT Fee'!I165</f>
        <v>0</v>
      </c>
      <c r="I311" s="448"/>
      <c r="J311" s="455">
        <f>'FT Fee'!I163</f>
        <v>0</v>
      </c>
      <c r="K311" s="448" t="str">
        <f>'FT Fee'!K165</f>
        <v/>
      </c>
      <c r="L311" s="448" t="str">
        <f>'FT Fee'!L165</f>
        <v>1a</v>
      </c>
      <c r="M311" s="449">
        <f>'FT Fee'!M165</f>
        <v>144</v>
      </c>
      <c r="N311" s="11">
        <f>'FT Fee'!N165</f>
        <v>0</v>
      </c>
      <c r="O311" s="11" t="str">
        <f>'FT Fee'!O165</f>
        <v>TEF</v>
      </c>
      <c r="P311" s="12" t="str">
        <f>'FT Fee'!O163</f>
        <v>TEF</v>
      </c>
      <c r="Q311" s="12" t="str">
        <f>'FT Fee'!P163</f>
        <v/>
      </c>
      <c r="R311" s="13" t="str">
        <f>'FT Fee'!Q163</f>
        <v>_TEF_</v>
      </c>
      <c r="S311" s="13" t="str">
        <f>'FT Fee'!R163</f>
        <v/>
      </c>
      <c r="T311" s="12" t="str">
        <f>'FT Fee'!S163</f>
        <v/>
      </c>
      <c r="U311" s="12" t="str">
        <f>'FT Fee'!T163</f>
        <v/>
      </c>
      <c r="V311" s="12" t="str">
        <f>'FT Fee'!U163</f>
        <v>NO</v>
      </c>
      <c r="W311" s="14" t="str">
        <f>'FT Fee'!V163</f>
        <v/>
      </c>
      <c r="X311" s="14" t="str">
        <f>'FT Fee'!W163</f>
        <v/>
      </c>
      <c r="Y311" s="14" t="str">
        <f>'FT Fee'!X163</f>
        <v/>
      </c>
      <c r="Z311" s="15" t="str">
        <f>'FT Fee'!Y163</f>
        <v/>
      </c>
    </row>
    <row r="312" spans="1:26" hidden="1" x14ac:dyDescent="0.2">
      <c r="A312" s="16">
        <f>'FT Fee'!A166</f>
        <v>145</v>
      </c>
      <c r="B312" s="447">
        <f>'FT Fee'!B166</f>
        <v>0</v>
      </c>
      <c r="C312" s="447"/>
      <c r="D312" s="447">
        <f>'FT Fee'!D166</f>
        <v>0</v>
      </c>
      <c r="E312" s="446">
        <f>'FT Fee'!D164</f>
        <v>0</v>
      </c>
      <c r="F312" s="11">
        <f>'FT Fee'!G164</f>
        <v>0</v>
      </c>
      <c r="G312" s="11">
        <f>'FT Fee'!H166</f>
        <v>0</v>
      </c>
      <c r="H312" s="456">
        <f>'FT Fee'!I166</f>
        <v>0</v>
      </c>
      <c r="I312" s="448"/>
      <c r="J312" s="455">
        <f>'FT Fee'!I164</f>
        <v>0</v>
      </c>
      <c r="K312" s="448" t="str">
        <f>'FT Fee'!K166</f>
        <v/>
      </c>
      <c r="L312" s="448" t="str">
        <f>'FT Fee'!L166</f>
        <v>1a</v>
      </c>
      <c r="M312" s="449">
        <f>'FT Fee'!M166</f>
        <v>145</v>
      </c>
      <c r="N312" s="11">
        <f>'FT Fee'!N166</f>
        <v>0</v>
      </c>
      <c r="O312" s="11" t="str">
        <f>'FT Fee'!O166</f>
        <v>TEF</v>
      </c>
      <c r="P312" s="12" t="str">
        <f>'FT Fee'!O164</f>
        <v>TEF</v>
      </c>
      <c r="Q312" s="12" t="str">
        <f>'FT Fee'!P164</f>
        <v/>
      </c>
      <c r="R312" s="13" t="str">
        <f>'FT Fee'!Q164</f>
        <v>_TEF_</v>
      </c>
      <c r="S312" s="13" t="str">
        <f>'FT Fee'!R164</f>
        <v/>
      </c>
      <c r="T312" s="12" t="str">
        <f>'FT Fee'!S164</f>
        <v/>
      </c>
      <c r="U312" s="12" t="str">
        <f>'FT Fee'!T164</f>
        <v/>
      </c>
      <c r="V312" s="12" t="str">
        <f>'FT Fee'!U164</f>
        <v>NO</v>
      </c>
      <c r="W312" s="14" t="str">
        <f>'FT Fee'!V164</f>
        <v/>
      </c>
      <c r="X312" s="14" t="str">
        <f>'FT Fee'!W164</f>
        <v/>
      </c>
      <c r="Y312" s="14" t="str">
        <f>'FT Fee'!X164</f>
        <v/>
      </c>
      <c r="Z312" s="15" t="str">
        <f>'FT Fee'!Y164</f>
        <v/>
      </c>
    </row>
    <row r="313" spans="1:26" hidden="1" x14ac:dyDescent="0.2">
      <c r="A313" s="16">
        <f>'FT Fee'!A167</f>
        <v>146</v>
      </c>
      <c r="B313" s="447">
        <f>'FT Fee'!B167</f>
        <v>0</v>
      </c>
      <c r="C313" s="447"/>
      <c r="D313" s="447">
        <f>'FT Fee'!D167</f>
        <v>0</v>
      </c>
      <c r="E313" s="446">
        <f>'FT Fee'!D165</f>
        <v>0</v>
      </c>
      <c r="F313" s="11">
        <f>'FT Fee'!G165</f>
        <v>0</v>
      </c>
      <c r="G313" s="19">
        <f>'FT Fee'!H167</f>
        <v>0</v>
      </c>
      <c r="H313" s="456">
        <f>'FT Fee'!I167</f>
        <v>0</v>
      </c>
      <c r="I313" s="448"/>
      <c r="J313" s="455">
        <f>'FT Fee'!I165</f>
        <v>0</v>
      </c>
      <c r="K313" s="448" t="str">
        <f>'FT Fee'!K167</f>
        <v/>
      </c>
      <c r="L313" s="448" t="str">
        <f>'FT Fee'!L167</f>
        <v>1a</v>
      </c>
      <c r="M313" s="449">
        <f>'FT Fee'!M167</f>
        <v>146</v>
      </c>
      <c r="N313" s="19">
        <f>'FT Fee'!N167</f>
        <v>0</v>
      </c>
      <c r="O313" s="19" t="str">
        <f>'FT Fee'!O167</f>
        <v>TEF</v>
      </c>
      <c r="P313" s="12" t="str">
        <f>'FT Fee'!O165</f>
        <v>TEF</v>
      </c>
      <c r="Q313" s="12" t="str">
        <f>'FT Fee'!P165</f>
        <v/>
      </c>
      <c r="R313" s="13" t="str">
        <f>'FT Fee'!Q165</f>
        <v>_TEF_</v>
      </c>
      <c r="S313" s="13" t="str">
        <f>'FT Fee'!R165</f>
        <v/>
      </c>
      <c r="T313" s="12" t="str">
        <f>'FT Fee'!S165</f>
        <v/>
      </c>
      <c r="U313" s="12" t="str">
        <f>'FT Fee'!T165</f>
        <v/>
      </c>
      <c r="V313" s="12" t="str">
        <f>'FT Fee'!U165</f>
        <v>NO</v>
      </c>
      <c r="W313" s="14" t="str">
        <f>'FT Fee'!V165</f>
        <v/>
      </c>
      <c r="X313" s="14" t="str">
        <f>'FT Fee'!W165</f>
        <v/>
      </c>
      <c r="Y313" s="14" t="str">
        <f>'FT Fee'!X165</f>
        <v/>
      </c>
      <c r="Z313" s="15" t="str">
        <f>'FT Fee'!Y165</f>
        <v/>
      </c>
    </row>
    <row r="314" spans="1:26" hidden="1" x14ac:dyDescent="0.2">
      <c r="A314" s="16">
        <f>'FT Fee'!A168</f>
        <v>147</v>
      </c>
      <c r="B314" s="444">
        <f>'FT Fee'!B168</f>
        <v>0</v>
      </c>
      <c r="C314" s="444"/>
      <c r="D314" s="444">
        <f>'FT Fee'!D168</f>
        <v>0</v>
      </c>
      <c r="E314" s="446">
        <f>'FT Fee'!D166</f>
        <v>0</v>
      </c>
      <c r="F314" s="11">
        <f>'FT Fee'!G166</f>
        <v>0</v>
      </c>
      <c r="G314" s="20">
        <f>'FT Fee'!H168</f>
        <v>0</v>
      </c>
      <c r="H314" s="455">
        <f>'FT Fee'!I168</f>
        <v>0</v>
      </c>
      <c r="I314" s="445"/>
      <c r="J314" s="455">
        <f>'FT Fee'!I166</f>
        <v>0</v>
      </c>
      <c r="K314" s="445" t="str">
        <f>'FT Fee'!K168</f>
        <v/>
      </c>
      <c r="L314" s="445" t="str">
        <f>'FT Fee'!L168</f>
        <v>1a</v>
      </c>
      <c r="M314" s="446">
        <f>'FT Fee'!M168</f>
        <v>147</v>
      </c>
      <c r="N314" s="20">
        <f>'FT Fee'!N168</f>
        <v>0</v>
      </c>
      <c r="O314" s="20" t="str">
        <f>'FT Fee'!O168</f>
        <v>TEF</v>
      </c>
      <c r="P314" s="12" t="str">
        <f>'FT Fee'!O166</f>
        <v>TEF</v>
      </c>
      <c r="Q314" s="12" t="str">
        <f>'FT Fee'!P166</f>
        <v/>
      </c>
      <c r="R314" s="13" t="str">
        <f>'FT Fee'!Q166</f>
        <v>_TEF_</v>
      </c>
      <c r="S314" s="13" t="str">
        <f>'FT Fee'!R166</f>
        <v/>
      </c>
      <c r="T314" s="12" t="str">
        <f>'FT Fee'!S166</f>
        <v/>
      </c>
      <c r="U314" s="12" t="str">
        <f>'FT Fee'!T166</f>
        <v/>
      </c>
      <c r="V314" s="12" t="str">
        <f>'FT Fee'!U166</f>
        <v>NO</v>
      </c>
      <c r="W314" s="14" t="str">
        <f>'FT Fee'!V166</f>
        <v/>
      </c>
      <c r="X314" s="14" t="str">
        <f>'FT Fee'!W166</f>
        <v/>
      </c>
      <c r="Y314" s="14" t="str">
        <f>'FT Fee'!X166</f>
        <v/>
      </c>
      <c r="Z314" s="15" t="str">
        <f>'FT Fee'!Y166</f>
        <v/>
      </c>
    </row>
    <row r="315" spans="1:26" hidden="1" x14ac:dyDescent="0.2">
      <c r="A315" s="16">
        <f>'FT Fee'!A169</f>
        <v>148</v>
      </c>
      <c r="B315" s="447">
        <f>'FT Fee'!B169</f>
        <v>0</v>
      </c>
      <c r="C315" s="447"/>
      <c r="D315" s="447">
        <f>'FT Fee'!D169</f>
        <v>0</v>
      </c>
      <c r="E315" s="446">
        <f>'FT Fee'!D167</f>
        <v>0</v>
      </c>
      <c r="F315" s="11">
        <f>'FT Fee'!G167</f>
        <v>0</v>
      </c>
      <c r="G315" s="11">
        <f>'FT Fee'!H169</f>
        <v>0</v>
      </c>
      <c r="H315" s="456">
        <f>'FT Fee'!I169</f>
        <v>0</v>
      </c>
      <c r="I315" s="448"/>
      <c r="J315" s="455">
        <f>'FT Fee'!I167</f>
        <v>0</v>
      </c>
      <c r="K315" s="448" t="str">
        <f>'FT Fee'!K169</f>
        <v/>
      </c>
      <c r="L315" s="448" t="str">
        <f>'FT Fee'!L169</f>
        <v>1a</v>
      </c>
      <c r="M315" s="449">
        <f>'FT Fee'!M169</f>
        <v>148</v>
      </c>
      <c r="N315" s="11">
        <f>'FT Fee'!N169</f>
        <v>0</v>
      </c>
      <c r="O315" s="11" t="str">
        <f>'FT Fee'!O169</f>
        <v>TEF</v>
      </c>
      <c r="P315" s="12" t="str">
        <f>'FT Fee'!O167</f>
        <v>TEF</v>
      </c>
      <c r="Q315" s="12" t="str">
        <f>'FT Fee'!P167</f>
        <v/>
      </c>
      <c r="R315" s="13" t="str">
        <f>'FT Fee'!Q167</f>
        <v>_TEF_</v>
      </c>
      <c r="S315" s="13" t="str">
        <f>'FT Fee'!R167</f>
        <v/>
      </c>
      <c r="T315" s="12" t="str">
        <f>'FT Fee'!S167</f>
        <v/>
      </c>
      <c r="U315" s="12" t="str">
        <f>'FT Fee'!T167</f>
        <v/>
      </c>
      <c r="V315" s="12" t="str">
        <f>'FT Fee'!U167</f>
        <v>NO</v>
      </c>
      <c r="W315" s="14" t="str">
        <f>'FT Fee'!V167</f>
        <v/>
      </c>
      <c r="X315" s="14" t="str">
        <f>'FT Fee'!W167</f>
        <v/>
      </c>
      <c r="Y315" s="14" t="str">
        <f>'FT Fee'!X167</f>
        <v/>
      </c>
      <c r="Z315" s="15" t="str">
        <f>'FT Fee'!Y167</f>
        <v/>
      </c>
    </row>
    <row r="316" spans="1:26" hidden="1" x14ac:dyDescent="0.2">
      <c r="A316" s="16">
        <f>'FT Fee'!A170</f>
        <v>149</v>
      </c>
      <c r="B316" s="447">
        <f>'FT Fee'!B170</f>
        <v>0</v>
      </c>
      <c r="C316" s="447"/>
      <c r="D316" s="447">
        <f>'FT Fee'!D170</f>
        <v>0</v>
      </c>
      <c r="E316" s="446">
        <f>'FT Fee'!D168</f>
        <v>0</v>
      </c>
      <c r="F316" s="11">
        <f>'FT Fee'!G168</f>
        <v>0</v>
      </c>
      <c r="G316" s="11">
        <f>'FT Fee'!H170</f>
        <v>0</v>
      </c>
      <c r="H316" s="456">
        <f>'FT Fee'!I170</f>
        <v>0</v>
      </c>
      <c r="I316" s="448"/>
      <c r="J316" s="455">
        <f>'FT Fee'!I168</f>
        <v>0</v>
      </c>
      <c r="K316" s="448" t="str">
        <f>'FT Fee'!K170</f>
        <v/>
      </c>
      <c r="L316" s="448" t="str">
        <f>'FT Fee'!L170</f>
        <v>1a</v>
      </c>
      <c r="M316" s="449">
        <f>'FT Fee'!M170</f>
        <v>149</v>
      </c>
      <c r="N316" s="11">
        <f>'FT Fee'!N170</f>
        <v>0</v>
      </c>
      <c r="O316" s="11" t="str">
        <f>'FT Fee'!O170</f>
        <v>TEF</v>
      </c>
      <c r="P316" s="12" t="str">
        <f>'FT Fee'!O168</f>
        <v>TEF</v>
      </c>
      <c r="Q316" s="12" t="str">
        <f>'FT Fee'!P168</f>
        <v/>
      </c>
      <c r="R316" s="13" t="str">
        <f>'FT Fee'!Q168</f>
        <v>_TEF_</v>
      </c>
      <c r="S316" s="13" t="str">
        <f>'FT Fee'!R168</f>
        <v/>
      </c>
      <c r="T316" s="12" t="str">
        <f>'FT Fee'!S168</f>
        <v/>
      </c>
      <c r="U316" s="12" t="str">
        <f>'FT Fee'!T168</f>
        <v/>
      </c>
      <c r="V316" s="12" t="str">
        <f>'FT Fee'!U168</f>
        <v>NO</v>
      </c>
      <c r="W316" s="14" t="str">
        <f>'FT Fee'!V168</f>
        <v/>
      </c>
      <c r="X316" s="14" t="str">
        <f>'FT Fee'!W168</f>
        <v/>
      </c>
      <c r="Y316" s="14" t="str">
        <f>'FT Fee'!X168</f>
        <v/>
      </c>
      <c r="Z316" s="15" t="str">
        <f>'FT Fee'!Y168</f>
        <v/>
      </c>
    </row>
    <row r="317" spans="1:26" hidden="1" x14ac:dyDescent="0.2">
      <c r="A317" s="16">
        <f>'FT Fee'!A171</f>
        <v>150</v>
      </c>
      <c r="B317" s="447">
        <f>'FT Fee'!B171</f>
        <v>0</v>
      </c>
      <c r="C317" s="447"/>
      <c r="D317" s="447">
        <f>'FT Fee'!D171</f>
        <v>0</v>
      </c>
      <c r="E317" s="446">
        <f>'FT Fee'!D169</f>
        <v>0</v>
      </c>
      <c r="F317" s="11">
        <f>'FT Fee'!G169</f>
        <v>0</v>
      </c>
      <c r="G317" s="19">
        <f>'FT Fee'!H171</f>
        <v>0</v>
      </c>
      <c r="H317" s="456">
        <f>'FT Fee'!I171</f>
        <v>0</v>
      </c>
      <c r="I317" s="448"/>
      <c r="J317" s="455">
        <f>'FT Fee'!I169</f>
        <v>0</v>
      </c>
      <c r="K317" s="448" t="str">
        <f>'FT Fee'!K171</f>
        <v/>
      </c>
      <c r="L317" s="448" t="str">
        <f>'FT Fee'!L171</f>
        <v>1a</v>
      </c>
      <c r="M317" s="449">
        <f>'FT Fee'!M171</f>
        <v>150</v>
      </c>
      <c r="N317" s="19">
        <f>'FT Fee'!N171</f>
        <v>0</v>
      </c>
      <c r="O317" s="19" t="str">
        <f>'FT Fee'!O171</f>
        <v>TEF</v>
      </c>
      <c r="P317" s="12" t="str">
        <f>'FT Fee'!O169</f>
        <v>TEF</v>
      </c>
      <c r="Q317" s="12" t="str">
        <f>'FT Fee'!P169</f>
        <v/>
      </c>
      <c r="R317" s="13" t="str">
        <f>'FT Fee'!Q169</f>
        <v>_TEF_</v>
      </c>
      <c r="S317" s="13" t="str">
        <f>'FT Fee'!R169</f>
        <v/>
      </c>
      <c r="T317" s="12" t="str">
        <f>'FT Fee'!S169</f>
        <v/>
      </c>
      <c r="U317" s="12" t="str">
        <f>'FT Fee'!T169</f>
        <v/>
      </c>
      <c r="V317" s="12" t="str">
        <f>'FT Fee'!U169</f>
        <v>NO</v>
      </c>
      <c r="W317" s="14" t="str">
        <f>'FT Fee'!V169</f>
        <v/>
      </c>
      <c r="X317" s="14" t="str">
        <f>'FT Fee'!W169</f>
        <v/>
      </c>
      <c r="Y317" s="14" t="str">
        <f>'FT Fee'!X169</f>
        <v/>
      </c>
      <c r="Z317" s="15" t="str">
        <f>'FT Fee'!Y169</f>
        <v/>
      </c>
    </row>
    <row r="318" spans="1:26" hidden="1" x14ac:dyDescent="0.2">
      <c r="A318" s="16">
        <f>'FT Fee'!A172</f>
        <v>0</v>
      </c>
      <c r="B318" s="444">
        <f>'FT Fee'!B172</f>
        <v>0</v>
      </c>
      <c r="C318" s="444"/>
      <c r="D318" s="444">
        <f>'FT Fee'!D172</f>
        <v>0</v>
      </c>
      <c r="E318" s="446">
        <f>'FT Fee'!D170</f>
        <v>0</v>
      </c>
      <c r="F318" s="11">
        <f>'FT Fee'!G170</f>
        <v>0</v>
      </c>
      <c r="G318" s="20">
        <f>'FT Fee'!H172</f>
        <v>0</v>
      </c>
      <c r="H318" s="445">
        <f>'FT Fee'!I172</f>
        <v>0</v>
      </c>
      <c r="I318" s="445"/>
      <c r="J318" s="455">
        <f>'FT Fee'!I170</f>
        <v>0</v>
      </c>
      <c r="K318" s="445">
        <f>'FT Fee'!K172</f>
        <v>0</v>
      </c>
      <c r="L318" s="445">
        <f>'FT Fee'!L172</f>
        <v>0</v>
      </c>
      <c r="M318" s="446">
        <f>'FT Fee'!M172</f>
        <v>0</v>
      </c>
      <c r="N318" s="20">
        <f>'FT Fee'!N172</f>
        <v>0</v>
      </c>
      <c r="O318" s="20">
        <f>'FT Fee'!O172</f>
        <v>0</v>
      </c>
      <c r="P318" s="12" t="str">
        <f>'FT Fee'!O170</f>
        <v>TEF</v>
      </c>
      <c r="Q318" s="12" t="str">
        <f>'FT Fee'!P170</f>
        <v/>
      </c>
      <c r="R318" s="13" t="str">
        <f>'FT Fee'!Q170</f>
        <v>_TEF_</v>
      </c>
      <c r="S318" s="13" t="str">
        <f>'FT Fee'!R170</f>
        <v/>
      </c>
      <c r="T318" s="12" t="str">
        <f>'FT Fee'!S170</f>
        <v/>
      </c>
      <c r="U318" s="12" t="str">
        <f>'FT Fee'!T170</f>
        <v/>
      </c>
      <c r="V318" s="12" t="str">
        <f>'FT Fee'!U170</f>
        <v>NO</v>
      </c>
      <c r="W318" s="14" t="str">
        <f>'FT Fee'!V170</f>
        <v/>
      </c>
      <c r="X318" s="14" t="str">
        <f>'FT Fee'!W170</f>
        <v/>
      </c>
      <c r="Y318" s="14" t="str">
        <f>'FT Fee'!X170</f>
        <v/>
      </c>
      <c r="Z318" s="15" t="str">
        <f>'FT Fee'!Y170</f>
        <v/>
      </c>
    </row>
    <row r="319" spans="1:26" hidden="1" x14ac:dyDescent="0.2">
      <c r="A319" s="16">
        <f>'FT Fee'!A173</f>
        <v>1</v>
      </c>
      <c r="B319" s="447">
        <f>'FT Fee'!B173</f>
        <v>0</v>
      </c>
      <c r="C319" s="447"/>
      <c r="D319" s="447">
        <f>'FT Fee'!D173</f>
        <v>0</v>
      </c>
      <c r="E319" s="446">
        <f>'FT Fee'!D171</f>
        <v>0</v>
      </c>
      <c r="F319" s="11">
        <f>'FT Fee'!G171</f>
        <v>0</v>
      </c>
      <c r="G319" s="11">
        <f>'FT Fee'!H173</f>
        <v>0</v>
      </c>
      <c r="H319" s="456">
        <f>'FT Fee'!I173</f>
        <v>0</v>
      </c>
      <c r="I319" s="448"/>
      <c r="J319" s="455">
        <f>'FT Fee'!I171</f>
        <v>0</v>
      </c>
      <c r="K319" s="448" t="str">
        <f>'FT Fee'!K173</f>
        <v/>
      </c>
      <c r="L319" s="448">
        <f>'FT Fee'!L173</f>
        <v>0</v>
      </c>
      <c r="M319" s="449">
        <f>'FT Fee'!M173</f>
        <v>0</v>
      </c>
      <c r="N319" s="11">
        <f>'FT Fee'!N173</f>
        <v>0</v>
      </c>
      <c r="O319" s="11" t="e">
        <f>'FT Fee'!O173</f>
        <v>#REF!</v>
      </c>
      <c r="P319" s="12" t="str">
        <f>'FT Fee'!O171</f>
        <v>TEF</v>
      </c>
      <c r="Q319" s="12" t="str">
        <f>'FT Fee'!P171</f>
        <v/>
      </c>
      <c r="R319" s="13" t="str">
        <f>'FT Fee'!Q171</f>
        <v>_TEF_</v>
      </c>
      <c r="S319" s="13" t="str">
        <f>'FT Fee'!R171</f>
        <v/>
      </c>
      <c r="T319" s="12" t="str">
        <f>'FT Fee'!S171</f>
        <v/>
      </c>
      <c r="U319" s="12" t="str">
        <f>'FT Fee'!T171</f>
        <v/>
      </c>
      <c r="V319" s="12" t="str">
        <f>'FT Fee'!U171</f>
        <v>NO</v>
      </c>
      <c r="W319" s="14" t="str">
        <f>'FT Fee'!V171</f>
        <v/>
      </c>
      <c r="X319" s="14" t="str">
        <f>'FT Fee'!W171</f>
        <v/>
      </c>
      <c r="Y319" s="14" t="str">
        <f>'FT Fee'!X171</f>
        <v/>
      </c>
      <c r="Z319" s="15" t="str">
        <f>'FT Fee'!Y171</f>
        <v/>
      </c>
    </row>
  </sheetData>
  <sheetProtection password="9A3D" sheet="1" objects="1" scenarios="1"/>
  <mergeCells count="39">
    <mergeCell ref="AA17:AA18"/>
    <mergeCell ref="AB17:AB18"/>
    <mergeCell ref="AC17:AC18"/>
    <mergeCell ref="AD17:AD18"/>
    <mergeCell ref="A15:L15"/>
    <mergeCell ref="X17:X18"/>
    <mergeCell ref="Y17:Y18"/>
    <mergeCell ref="Z17:Z18"/>
    <mergeCell ref="R17:R18"/>
    <mergeCell ref="S17:S18"/>
    <mergeCell ref="T17:T18"/>
    <mergeCell ref="U17:U18"/>
    <mergeCell ref="V17:V18"/>
    <mergeCell ref="W17:W18"/>
    <mergeCell ref="A1:L1"/>
    <mergeCell ref="M1:N1"/>
    <mergeCell ref="A2:L2"/>
    <mergeCell ref="A3:L3"/>
    <mergeCell ref="A4:L4"/>
    <mergeCell ref="A5:L5"/>
    <mergeCell ref="A6:L6"/>
    <mergeCell ref="A7:L7"/>
    <mergeCell ref="A9:L9"/>
    <mergeCell ref="A11:L11"/>
    <mergeCell ref="A12:L12"/>
    <mergeCell ref="A8:L8"/>
    <mergeCell ref="Q17:Q18"/>
    <mergeCell ref="A16:A18"/>
    <mergeCell ref="B16:B18"/>
    <mergeCell ref="C16:C17"/>
    <mergeCell ref="D16:D18"/>
    <mergeCell ref="E16:H17"/>
    <mergeCell ref="I16:I18"/>
    <mergeCell ref="J16:L16"/>
    <mergeCell ref="J17:J18"/>
    <mergeCell ref="K17:K18"/>
    <mergeCell ref="L17:L18"/>
    <mergeCell ref="P17:P18"/>
    <mergeCell ref="A10:L10"/>
  </mergeCells>
  <conditionalFormatting sqref="A7:A9">
    <cfRule type="expression" dxfId="50" priority="2">
      <formula>IF(O7="FAILED",TRUE,FALSE)</formula>
    </cfRule>
  </conditionalFormatting>
  <conditionalFormatting sqref="E170:G319">
    <cfRule type="expression" dxfId="49" priority="1">
      <formula>IF(#REF!="New students in 2018/19",TRUE,FALSE)</formula>
    </cfRule>
  </conditionalFormatting>
  <conditionalFormatting sqref="J19:J168 M170:M319">
    <cfRule type="expression" dxfId="48" priority="3">
      <formula>IF(U19="BBFC",TRUE,FALSE)</formula>
    </cfRule>
    <cfRule type="expression" dxfId="47" priority="4">
      <formula>IF(U19="AHFC",TRUE,FALSE)</formula>
    </cfRule>
  </conditionalFormatting>
  <conditionalFormatting sqref="E170:E319">
    <cfRule type="expression" dxfId="46" priority="5">
      <formula>IF(#REF!="BBFC",TRUE,FALSE)</formula>
    </cfRule>
    <cfRule type="expression" dxfId="45" priority="6">
      <formula>IF(#REF!="AHFC",TRUE,FALSE)</formula>
    </cfRule>
  </conditionalFormatting>
  <conditionalFormatting sqref="A19:A168">
    <cfRule type="expression" dxfId="44" priority="7">
      <formula>IF(#REF!="FLAG",TRUE,FALSE)</formula>
    </cfRule>
  </conditionalFormatting>
  <conditionalFormatting sqref="A169:A319">
    <cfRule type="expression" dxfId="43" priority="8">
      <formula>IF(#REF!="FLAG",TRUE,FALSE)</formula>
    </cfRule>
  </conditionalFormatting>
  <dataValidations count="5">
    <dataValidation type="decimal" operator="greaterThanOrEqual" allowBlank="1" showInputMessage="1" showErrorMessage="1" sqref="J19:J168" xr:uid="{00000000-0002-0000-0200-000000000000}">
      <formula1>0</formula1>
    </dataValidation>
    <dataValidation type="whole" operator="greaterThanOrEqual" allowBlank="1" showInputMessage="1" showErrorMessage="1" sqref="E19:H168" xr:uid="{00000000-0002-0000-0200-000001000000}">
      <formula1>0</formula1>
    </dataValidation>
    <dataValidation type="textLength" operator="lessThan" allowBlank="1" showInputMessage="1" showErrorMessage="1" errorTitle="Text too long" error="Text length exceeds 500 characters" promptTitle="Further information" prompt="Please restrict character length to below 500" sqref="D19" xr:uid="{00000000-0002-0000-0200-000002000000}">
      <formula1>500</formula1>
    </dataValidation>
    <dataValidation type="list" allowBlank="1" showInputMessage="1" showErrorMessage="1" sqref="B19:B168" xr:uid="{00000000-0002-0000-0200-000003000000}">
      <formula1>FTF_course_type</formula1>
    </dataValidation>
    <dataValidation type="list" allowBlank="1" showInputMessage="1" showErrorMessage="1" sqref="I19:I168" xr:uid="{00000000-0002-0000-0200-000004000000}">
      <formula1>GEN_yes_no</formula1>
    </dataValidation>
  </dataValidations>
  <hyperlinks>
    <hyperlink ref="C18" r:id="rId1" xr:uid="{00000000-0004-0000-0200-000000000000}"/>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257"/>
  <sheetViews>
    <sheetView topLeftCell="A3" zoomScaleNormal="100" workbookViewId="0">
      <selection activeCell="G24" sqref="G24"/>
    </sheetView>
  </sheetViews>
  <sheetFormatPr defaultColWidth="0" defaultRowHeight="12.75" zeroHeight="1" x14ac:dyDescent="0.2"/>
  <cols>
    <col min="1" max="1" width="5.7109375" style="4" bestFit="1" customWidth="1"/>
    <col min="2" max="2" width="40.7109375" style="4" customWidth="1"/>
    <col min="3" max="4" width="60.7109375" style="4" customWidth="1"/>
    <col min="5" max="5" width="15.5703125" style="4" customWidth="1"/>
    <col min="6" max="7" width="15.7109375" style="4" customWidth="1"/>
    <col min="8" max="9" width="9.140625" style="2" hidden="1" customWidth="1"/>
    <col min="10" max="10" width="13.140625" style="4" hidden="1" customWidth="1"/>
    <col min="11" max="17" width="15.42578125" style="4" hidden="1" customWidth="1"/>
    <col min="18" max="16384" width="9.140625" style="342" hidden="1"/>
  </cols>
  <sheetData>
    <row r="1" spans="1:21" ht="30.75" customHeight="1" x14ac:dyDescent="0.2">
      <c r="A1" s="593" t="s">
        <v>444</v>
      </c>
      <c r="B1" s="594"/>
      <c r="C1" s="594"/>
      <c r="D1" s="594"/>
      <c r="E1" s="594"/>
      <c r="F1" s="594"/>
      <c r="G1" s="643"/>
      <c r="H1" s="644" t="s">
        <v>67</v>
      </c>
      <c r="I1" s="645"/>
    </row>
    <row r="2" spans="1:21" ht="18.75" customHeight="1" x14ac:dyDescent="0.2">
      <c r="A2" s="646" t="str">
        <f>Contact!A2</f>
        <v>Institution name: Derby College</v>
      </c>
      <c r="B2" s="647"/>
      <c r="C2" s="647"/>
      <c r="D2" s="647"/>
      <c r="E2" s="647"/>
      <c r="F2" s="647"/>
      <c r="G2" s="648"/>
      <c r="H2" s="413"/>
      <c r="I2" s="414"/>
    </row>
    <row r="3" spans="1:21" ht="18.75" customHeight="1" x14ac:dyDescent="0.2">
      <c r="A3" s="649" t="str">
        <f>Contact!A3</f>
        <v>Institution UKPRN: 10001919</v>
      </c>
      <c r="B3" s="650"/>
      <c r="C3" s="650"/>
      <c r="D3" s="650"/>
      <c r="E3" s="650"/>
      <c r="F3" s="650"/>
      <c r="G3" s="651"/>
      <c r="H3" s="413"/>
      <c r="I3" s="414"/>
    </row>
    <row r="4" spans="1:21" s="341" customFormat="1" ht="15" customHeight="1" x14ac:dyDescent="0.2">
      <c r="A4" s="649" t="str">
        <f>CONCATENATE('FT Fee'!A6,'FT Fee'!D6)</f>
        <v>Expected TEF year 3 status: We hold or have applied for a TEF award for 2019-20.</v>
      </c>
      <c r="B4" s="650"/>
      <c r="C4" s="650"/>
      <c r="D4" s="650"/>
      <c r="E4" s="650"/>
      <c r="F4" s="650"/>
      <c r="G4" s="651"/>
      <c r="H4" s="413"/>
      <c r="I4" s="414"/>
      <c r="J4" s="4"/>
      <c r="K4" s="4"/>
      <c r="L4" s="4"/>
      <c r="M4" s="4"/>
      <c r="N4" s="4"/>
      <c r="O4" s="4"/>
      <c r="P4" s="4"/>
      <c r="Q4" s="4"/>
    </row>
    <row r="5" spans="1:21" ht="18.75" customHeight="1" x14ac:dyDescent="0.2">
      <c r="A5" s="601"/>
      <c r="B5" s="602"/>
      <c r="C5" s="602"/>
      <c r="D5" s="602"/>
      <c r="E5" s="602"/>
      <c r="F5" s="602"/>
      <c r="G5" s="637"/>
      <c r="H5" s="413"/>
      <c r="I5" s="414"/>
    </row>
    <row r="6" spans="1:21" ht="18.75" customHeight="1" x14ac:dyDescent="0.2">
      <c r="A6" s="652" t="s">
        <v>59</v>
      </c>
      <c r="B6" s="653"/>
      <c r="C6" s="653"/>
      <c r="D6" s="653"/>
      <c r="E6" s="653"/>
      <c r="F6" s="653"/>
      <c r="G6" s="654"/>
      <c r="H6" s="413"/>
      <c r="I6" s="414"/>
      <c r="J6" s="31" t="s">
        <v>35</v>
      </c>
    </row>
    <row r="7" spans="1:21" ht="18.75" customHeight="1" x14ac:dyDescent="0.2">
      <c r="A7" s="588" t="s">
        <v>573</v>
      </c>
      <c r="B7" s="589"/>
      <c r="C7" s="589"/>
      <c r="D7" s="589"/>
      <c r="E7" s="589"/>
      <c r="F7" s="589"/>
      <c r="G7" s="590"/>
      <c r="H7" s="413"/>
      <c r="I7" s="414"/>
      <c r="J7" s="33" t="str">
        <f>IF(COUNTIF(N18:N168,"NO")&gt;0,"FAILED","PASSED")</f>
        <v>PASSED</v>
      </c>
    </row>
    <row r="8" spans="1:21" ht="18.75" customHeight="1" x14ac:dyDescent="0.2">
      <c r="A8" s="588" t="s">
        <v>509</v>
      </c>
      <c r="B8" s="589"/>
      <c r="C8" s="589"/>
      <c r="D8" s="589"/>
      <c r="E8" s="589"/>
      <c r="F8" s="589"/>
      <c r="G8" s="590"/>
      <c r="H8" s="440"/>
      <c r="I8" s="441"/>
      <c r="J8" s="34" t="str">
        <f>IF(COUNTBLANK(B18:B167)=150,"PASSED",IF(COUNTBLANK(E18:E167)=150,"FAILED","PASSED"))</f>
        <v>PASSED</v>
      </c>
    </row>
    <row r="9" spans="1:21" ht="18.75" customHeight="1" x14ac:dyDescent="0.2">
      <c r="A9" s="588" t="s">
        <v>483</v>
      </c>
      <c r="B9" s="589"/>
      <c r="C9" s="589"/>
      <c r="D9" s="589"/>
      <c r="E9" s="589"/>
      <c r="F9" s="589"/>
      <c r="G9" s="590"/>
      <c r="H9" s="413"/>
      <c r="I9" s="414"/>
      <c r="J9" s="34" t="str">
        <f>IF(COUNTIF(P18:P168,"YES")&gt;0,"FAILED","PASSED")</f>
        <v>PASSED</v>
      </c>
    </row>
    <row r="10" spans="1:21" ht="18.75" customHeight="1" x14ac:dyDescent="0.2">
      <c r="A10" s="591"/>
      <c r="B10" s="592"/>
      <c r="C10" s="592"/>
      <c r="D10" s="592"/>
      <c r="E10" s="592"/>
      <c r="F10" s="592"/>
      <c r="G10" s="638"/>
      <c r="H10" s="413"/>
      <c r="I10" s="414"/>
    </row>
    <row r="11" spans="1:21" ht="18.75" hidden="1" customHeight="1" x14ac:dyDescent="0.2">
      <c r="A11" s="646" t="s">
        <v>60</v>
      </c>
      <c r="B11" s="647"/>
      <c r="C11" s="647"/>
      <c r="D11" s="647"/>
      <c r="E11" s="647"/>
      <c r="F11" s="647"/>
      <c r="G11" s="648"/>
      <c r="H11" s="413"/>
      <c r="I11" s="414"/>
    </row>
    <row r="12" spans="1:21" ht="14.25" hidden="1" x14ac:dyDescent="0.2">
      <c r="A12" s="655" t="s">
        <v>435</v>
      </c>
      <c r="B12" s="656"/>
      <c r="C12" s="656"/>
      <c r="D12" s="656"/>
      <c r="E12" s="656"/>
      <c r="F12" s="656"/>
      <c r="G12" s="657"/>
      <c r="H12" s="413"/>
      <c r="I12" s="414"/>
    </row>
    <row r="13" spans="1:21" ht="18.75" hidden="1" customHeight="1" x14ac:dyDescent="0.2">
      <c r="A13" s="62"/>
      <c r="B13" s="63"/>
      <c r="C13" s="64"/>
      <c r="D13" s="64"/>
      <c r="E13" s="64"/>
      <c r="F13" s="65"/>
      <c r="G13" s="68"/>
      <c r="H13" s="413"/>
      <c r="I13" s="414"/>
    </row>
    <row r="14" spans="1:21" s="343" customFormat="1" ht="18.75" hidden="1" customHeight="1" x14ac:dyDescent="0.25">
      <c r="A14" s="6"/>
      <c r="B14" s="420" t="s">
        <v>68</v>
      </c>
      <c r="C14" s="420" t="s">
        <v>62</v>
      </c>
      <c r="D14" s="7" t="s">
        <v>3</v>
      </c>
      <c r="E14" s="7" t="s">
        <v>415</v>
      </c>
      <c r="F14" s="7" t="s">
        <v>69</v>
      </c>
      <c r="G14" s="421" t="s">
        <v>70</v>
      </c>
      <c r="H14" s="413" t="s">
        <v>11</v>
      </c>
      <c r="I14" s="414" t="s">
        <v>0</v>
      </c>
      <c r="J14" s="2"/>
      <c r="K14" s="658" t="s">
        <v>13</v>
      </c>
      <c r="L14" s="659"/>
      <c r="M14" s="659"/>
      <c r="N14" s="659"/>
      <c r="O14" s="659"/>
      <c r="P14" s="659"/>
      <c r="Q14" s="660"/>
    </row>
    <row r="15" spans="1:21" ht="30" customHeight="1" x14ac:dyDescent="0.2">
      <c r="A15" s="615" t="s">
        <v>71</v>
      </c>
      <c r="B15" s="616"/>
      <c r="C15" s="616"/>
      <c r="D15" s="616"/>
      <c r="E15" s="616"/>
      <c r="F15" s="616"/>
      <c r="G15" s="617"/>
      <c r="H15" s="413"/>
      <c r="I15" s="414"/>
      <c r="K15" s="639" t="s">
        <v>72</v>
      </c>
      <c r="L15" s="639" t="s">
        <v>73</v>
      </c>
      <c r="M15" s="639" t="s">
        <v>18</v>
      </c>
      <c r="N15" s="580" t="s">
        <v>19</v>
      </c>
      <c r="O15" s="580" t="s">
        <v>510</v>
      </c>
      <c r="P15" s="580" t="s">
        <v>74</v>
      </c>
      <c r="Q15" s="580" t="s">
        <v>21</v>
      </c>
    </row>
    <row r="16" spans="1:21" ht="28.5" customHeight="1" x14ac:dyDescent="0.2">
      <c r="A16" s="618" t="s">
        <v>14</v>
      </c>
      <c r="B16" s="618" t="s">
        <v>15</v>
      </c>
      <c r="C16" s="415" t="s">
        <v>75</v>
      </c>
      <c r="D16" s="618" t="s">
        <v>76</v>
      </c>
      <c r="E16" s="618" t="s">
        <v>409</v>
      </c>
      <c r="F16" s="641" t="s">
        <v>77</v>
      </c>
      <c r="G16" s="641" t="s">
        <v>78</v>
      </c>
      <c r="H16" s="413"/>
      <c r="I16" s="414"/>
      <c r="K16" s="581"/>
      <c r="L16" s="581"/>
      <c r="M16" s="581"/>
      <c r="N16" s="579"/>
      <c r="O16" s="579"/>
      <c r="P16" s="579"/>
      <c r="Q16" s="579"/>
      <c r="R16" s="609"/>
      <c r="S16" s="609"/>
      <c r="T16" s="609"/>
      <c r="U16" s="609"/>
    </row>
    <row r="17" spans="1:21" ht="30" customHeight="1" x14ac:dyDescent="0.2">
      <c r="A17" s="619"/>
      <c r="B17" s="619"/>
      <c r="C17" s="83" t="s">
        <v>64</v>
      </c>
      <c r="D17" s="619"/>
      <c r="E17" s="619"/>
      <c r="F17" s="642"/>
      <c r="G17" s="642"/>
      <c r="H17" s="413"/>
      <c r="I17" s="414"/>
      <c r="K17" s="582"/>
      <c r="L17" s="582"/>
      <c r="M17" s="582"/>
      <c r="N17" s="640"/>
      <c r="O17" s="640"/>
      <c r="P17" s="640"/>
      <c r="Q17" s="640"/>
      <c r="R17" s="609"/>
      <c r="S17" s="609"/>
      <c r="T17" s="609"/>
      <c r="U17" s="609"/>
    </row>
    <row r="18" spans="1:21" s="344" customFormat="1" x14ac:dyDescent="0.2">
      <c r="A18" s="70">
        <v>1</v>
      </c>
      <c r="B18" s="10" t="s">
        <v>267</v>
      </c>
      <c r="C18" s="10"/>
      <c r="D18" s="10"/>
      <c r="E18" s="10" t="s">
        <v>115</v>
      </c>
      <c r="F18" s="496">
        <v>9000</v>
      </c>
      <c r="G18" s="496">
        <v>4500</v>
      </c>
      <c r="H18" s="413">
        <v>2</v>
      </c>
      <c r="I18" s="414">
        <v>1</v>
      </c>
      <c r="J18" s="74"/>
      <c r="K18" s="12" t="str">
        <f>IF($A$4="Expected TEF year 3 status: We hold or have applied for a TEF award for 2019-20.","TEF","No TEF")</f>
        <v>TEF</v>
      </c>
      <c r="L18" s="12" t="str">
        <f>IF(K18="","",CONCATENATE("PART_",IF(K18="No TEF","NO_TEF_","TEF_")))</f>
        <v>PART_TEF_</v>
      </c>
      <c r="M18" s="12" t="str">
        <f>IF(COUNTBLANK($B18:$G18)=6,"NO","YES")</f>
        <v>YES</v>
      </c>
      <c r="N18" s="14" t="str">
        <f>IF($M18="NO","",IF(AND((COUNTBLANK($B18)+COUNTBLANK($F18:$G18))=0,COUNTBLANK(E18)=0),"YES","NO"))</f>
        <v>YES</v>
      </c>
      <c r="O18" s="14" t="str">
        <f>IF(COUNTBLANK(G18)=1,"",IF(G18&lt;VLOOKUP(L18,FeeLookup!$J$29:$L$30,2,FALSE),"YES","NO"))</f>
        <v>YES</v>
      </c>
      <c r="P18" s="14" t="str">
        <f>IF(COUNTBLANK(G18)=1,"",IF(G18&gt;VLOOKUP(L18,FeeLookup!$J$29:$L$30,3,FALSE),"YES","NO"))</f>
        <v>NO</v>
      </c>
      <c r="Q18" s="14" t="str">
        <f>IF(OR(N18="NO",P18="YES"),"FLAG","")</f>
        <v/>
      </c>
      <c r="R18" s="342"/>
      <c r="S18" s="342"/>
      <c r="T18" s="342"/>
      <c r="U18" s="342"/>
    </row>
    <row r="19" spans="1:21" s="344" customFormat="1" x14ac:dyDescent="0.25">
      <c r="A19" s="71">
        <v>2</v>
      </c>
      <c r="B19" s="18" t="s">
        <v>268</v>
      </c>
      <c r="C19" s="18"/>
      <c r="D19" s="18"/>
      <c r="E19" s="18" t="s">
        <v>115</v>
      </c>
      <c r="F19" s="497">
        <v>6000</v>
      </c>
      <c r="G19" s="497">
        <v>3000</v>
      </c>
      <c r="H19" s="413">
        <v>2</v>
      </c>
      <c r="I19" s="414">
        <v>2</v>
      </c>
      <c r="J19" s="74"/>
      <c r="K19" s="12" t="str">
        <f t="shared" ref="K19:K82" si="0">IF($A$4="Expected TEF year 3 status: We hold or have applied for a TEF award for 2019-20.","TEF","No TEF")</f>
        <v>TEF</v>
      </c>
      <c r="L19" s="12" t="str">
        <f t="shared" ref="L19:L82" si="1">IF(K19="","",CONCATENATE("PART_",IF(K19="No TEF","NO_TEF_","TEF_")))</f>
        <v>PART_TEF_</v>
      </c>
      <c r="M19" s="12" t="str">
        <f t="shared" ref="M19:M82" si="2">IF(COUNTBLANK($B19:$G19)=6,"NO","YES")</f>
        <v>YES</v>
      </c>
      <c r="N19" s="14" t="str">
        <f t="shared" ref="N19:N82" si="3">IF($M19="NO","",IF(AND((COUNTBLANK($B19)+COUNTBLANK($F19:$G19))=0,COUNTBLANK(E19)=0),"YES","NO"))</f>
        <v>YES</v>
      </c>
      <c r="O19" s="14" t="str">
        <f>IF(COUNTBLANK(G19)=1,"",IF(G19&lt;VLOOKUP(L19,FeeLookup!$J$29:$L$30,2,FALSE),"YES","NO"))</f>
        <v>YES</v>
      </c>
      <c r="P19" s="14" t="str">
        <f>IF(COUNTBLANK(G19)=1,"",IF(G19&gt;VLOOKUP(L19,FeeLookup!$J$29:$L$30,3,FALSE),"YES","NO"))</f>
        <v>NO</v>
      </c>
      <c r="Q19" s="14" t="str">
        <f t="shared" ref="Q19:Q82" si="4">IF(OR(N19="NO",P19="YES"),"FLAG","")</f>
        <v/>
      </c>
    </row>
    <row r="20" spans="1:21" s="344" customFormat="1" x14ac:dyDescent="0.25">
      <c r="A20" s="71">
        <v>3</v>
      </c>
      <c r="B20" s="18" t="s">
        <v>263</v>
      </c>
      <c r="C20" s="18"/>
      <c r="D20" s="18"/>
      <c r="E20" s="18" t="s">
        <v>115</v>
      </c>
      <c r="F20" s="497">
        <v>9000</v>
      </c>
      <c r="G20" s="497">
        <v>4500</v>
      </c>
      <c r="H20" s="413">
        <v>2</v>
      </c>
      <c r="I20" s="414">
        <v>3</v>
      </c>
      <c r="J20" s="74"/>
      <c r="K20" s="12" t="str">
        <f t="shared" si="0"/>
        <v>TEF</v>
      </c>
      <c r="L20" s="12" t="str">
        <f t="shared" si="1"/>
        <v>PART_TEF_</v>
      </c>
      <c r="M20" s="12" t="str">
        <f t="shared" si="2"/>
        <v>YES</v>
      </c>
      <c r="N20" s="14" t="str">
        <f t="shared" si="3"/>
        <v>YES</v>
      </c>
      <c r="O20" s="14" t="str">
        <f>IF(COUNTBLANK(G20)=1,"",IF(G20&lt;VLOOKUP(L20,FeeLookup!$J$29:$L$30,2,FALSE),"YES","NO"))</f>
        <v>YES</v>
      </c>
      <c r="P20" s="14" t="str">
        <f>IF(COUNTBLANK(G20)=1,"",IF(G20&gt;VLOOKUP(L20,FeeLookup!$J$29:$L$30,3,FALSE),"YES","NO"))</f>
        <v>NO</v>
      </c>
      <c r="Q20" s="14" t="str">
        <f t="shared" si="4"/>
        <v/>
      </c>
    </row>
    <row r="21" spans="1:21" s="344" customFormat="1" x14ac:dyDescent="0.25">
      <c r="A21" s="71">
        <v>4</v>
      </c>
      <c r="B21" s="18" t="s">
        <v>269</v>
      </c>
      <c r="C21" s="18"/>
      <c r="D21" s="18"/>
      <c r="E21" s="18" t="s">
        <v>115</v>
      </c>
      <c r="F21" s="497">
        <v>8000</v>
      </c>
      <c r="G21" s="497">
        <v>4000</v>
      </c>
      <c r="H21" s="413">
        <v>2</v>
      </c>
      <c r="I21" s="414">
        <v>4</v>
      </c>
      <c r="J21" s="74"/>
      <c r="K21" s="12" t="str">
        <f t="shared" si="0"/>
        <v>TEF</v>
      </c>
      <c r="L21" s="12" t="str">
        <f t="shared" si="1"/>
        <v>PART_TEF_</v>
      </c>
      <c r="M21" s="12" t="str">
        <f t="shared" si="2"/>
        <v>YES</v>
      </c>
      <c r="N21" s="14" t="str">
        <f t="shared" si="3"/>
        <v>YES</v>
      </c>
      <c r="O21" s="14" t="str">
        <f>IF(COUNTBLANK(G21)=1,"",IF(G21&lt;VLOOKUP(L21,FeeLookup!$J$29:$L$30,2,FALSE),"YES","NO"))</f>
        <v>YES</v>
      </c>
      <c r="P21" s="14" t="str">
        <f>IF(COUNTBLANK(G21)=1,"",IF(G21&gt;VLOOKUP(L21,FeeLookup!$J$29:$L$30,3,FALSE),"YES","NO"))</f>
        <v>NO</v>
      </c>
      <c r="Q21" s="14" t="str">
        <f t="shared" si="4"/>
        <v/>
      </c>
    </row>
    <row r="22" spans="1:21" s="344" customFormat="1" x14ac:dyDescent="0.25">
      <c r="A22" s="71">
        <v>5</v>
      </c>
      <c r="B22" s="18"/>
      <c r="C22" s="18"/>
      <c r="D22" s="18"/>
      <c r="E22" s="18"/>
      <c r="F22" s="497"/>
      <c r="G22" s="497"/>
      <c r="H22" s="413">
        <v>2</v>
      </c>
      <c r="I22" s="414">
        <v>5</v>
      </c>
      <c r="J22" s="74"/>
      <c r="K22" s="12" t="str">
        <f t="shared" si="0"/>
        <v>TEF</v>
      </c>
      <c r="L22" s="12" t="str">
        <f t="shared" si="1"/>
        <v>PART_TEF_</v>
      </c>
      <c r="M22" s="12" t="str">
        <f t="shared" si="2"/>
        <v>NO</v>
      </c>
      <c r="N22" s="14" t="str">
        <f t="shared" si="3"/>
        <v/>
      </c>
      <c r="O22" s="14" t="str">
        <f>IF(COUNTBLANK(G22)=1,"",IF(G22&lt;VLOOKUP(L22,FeeLookup!$J$29:$L$30,2,FALSE),"YES","NO"))</f>
        <v/>
      </c>
      <c r="P22" s="14" t="str">
        <f>IF(COUNTBLANK(G22)=1,"",IF(G22&gt;VLOOKUP(L22,FeeLookup!$J$29:$L$30,3,FALSE),"YES","NO"))</f>
        <v/>
      </c>
      <c r="Q22" s="14" t="str">
        <f t="shared" si="4"/>
        <v/>
      </c>
    </row>
    <row r="23" spans="1:21" s="344" customFormat="1" x14ac:dyDescent="0.25">
      <c r="A23" s="71">
        <v>6</v>
      </c>
      <c r="B23" s="18"/>
      <c r="C23" s="18"/>
      <c r="D23" s="18"/>
      <c r="E23" s="18"/>
      <c r="F23" s="497"/>
      <c r="G23" s="497"/>
      <c r="H23" s="413">
        <v>2</v>
      </c>
      <c r="I23" s="414">
        <v>6</v>
      </c>
      <c r="J23" s="74"/>
      <c r="K23" s="12" t="str">
        <f t="shared" si="0"/>
        <v>TEF</v>
      </c>
      <c r="L23" s="12" t="str">
        <f t="shared" si="1"/>
        <v>PART_TEF_</v>
      </c>
      <c r="M23" s="12" t="str">
        <f t="shared" si="2"/>
        <v>NO</v>
      </c>
      <c r="N23" s="14" t="str">
        <f t="shared" si="3"/>
        <v/>
      </c>
      <c r="O23" s="14" t="str">
        <f>IF(COUNTBLANK(G23)=1,"",IF(G23&lt;VLOOKUP(L23,FeeLookup!$J$29:$L$30,2,FALSE),"YES","NO"))</f>
        <v/>
      </c>
      <c r="P23" s="14" t="str">
        <f>IF(COUNTBLANK(G23)=1,"",IF(G23&gt;VLOOKUP(L23,FeeLookup!$J$29:$L$30,3,FALSE),"YES","NO"))</f>
        <v/>
      </c>
      <c r="Q23" s="14" t="str">
        <f t="shared" si="4"/>
        <v/>
      </c>
    </row>
    <row r="24" spans="1:21" s="344" customFormat="1" x14ac:dyDescent="0.25">
      <c r="A24" s="71">
        <v>7</v>
      </c>
      <c r="B24" s="18"/>
      <c r="C24" s="18"/>
      <c r="D24" s="18"/>
      <c r="E24" s="18"/>
      <c r="F24" s="497"/>
      <c r="G24" s="497"/>
      <c r="H24" s="413">
        <v>2</v>
      </c>
      <c r="I24" s="414">
        <v>7</v>
      </c>
      <c r="J24" s="74"/>
      <c r="K24" s="12" t="str">
        <f t="shared" si="0"/>
        <v>TEF</v>
      </c>
      <c r="L24" s="12" t="str">
        <f t="shared" si="1"/>
        <v>PART_TEF_</v>
      </c>
      <c r="M24" s="12" t="str">
        <f t="shared" si="2"/>
        <v>NO</v>
      </c>
      <c r="N24" s="14" t="str">
        <f t="shared" si="3"/>
        <v/>
      </c>
      <c r="O24" s="14" t="str">
        <f>IF(COUNTBLANK(G24)=1,"",IF(G24&lt;VLOOKUP(L24,FeeLookup!$J$29:$L$30,2,FALSE),"YES","NO"))</f>
        <v/>
      </c>
      <c r="P24" s="14" t="str">
        <f>IF(COUNTBLANK(G24)=1,"",IF(G24&gt;VLOOKUP(L24,FeeLookup!$J$29:$L$30,3,FALSE),"YES","NO"))</f>
        <v/>
      </c>
      <c r="Q24" s="14" t="str">
        <f t="shared" si="4"/>
        <v/>
      </c>
    </row>
    <row r="25" spans="1:21" s="344" customFormat="1" x14ac:dyDescent="0.25">
      <c r="A25" s="71">
        <v>8</v>
      </c>
      <c r="B25" s="18"/>
      <c r="C25" s="18"/>
      <c r="D25" s="18"/>
      <c r="E25" s="18"/>
      <c r="F25" s="497"/>
      <c r="G25" s="497"/>
      <c r="H25" s="413">
        <v>2</v>
      </c>
      <c r="I25" s="414">
        <v>8</v>
      </c>
      <c r="J25" s="74"/>
      <c r="K25" s="12" t="str">
        <f t="shared" si="0"/>
        <v>TEF</v>
      </c>
      <c r="L25" s="12" t="str">
        <f t="shared" si="1"/>
        <v>PART_TEF_</v>
      </c>
      <c r="M25" s="12" t="str">
        <f t="shared" si="2"/>
        <v>NO</v>
      </c>
      <c r="N25" s="14" t="str">
        <f t="shared" si="3"/>
        <v/>
      </c>
      <c r="O25" s="14" t="str">
        <f>IF(COUNTBLANK(G25)=1,"",IF(G25&lt;VLOOKUP(L25,FeeLookup!$J$29:$L$30,2,FALSE),"YES","NO"))</f>
        <v/>
      </c>
      <c r="P25" s="14" t="str">
        <f>IF(COUNTBLANK(G25)=1,"",IF(G25&gt;VLOOKUP(L25,FeeLookup!$J$29:$L$30,3,FALSE),"YES","NO"))</f>
        <v/>
      </c>
      <c r="Q25" s="14" t="str">
        <f t="shared" si="4"/>
        <v/>
      </c>
    </row>
    <row r="26" spans="1:21" s="344" customFormat="1" x14ac:dyDescent="0.25">
      <c r="A26" s="71">
        <v>9</v>
      </c>
      <c r="B26" s="18"/>
      <c r="C26" s="18"/>
      <c r="D26" s="18"/>
      <c r="E26" s="18"/>
      <c r="F26" s="497"/>
      <c r="G26" s="497"/>
      <c r="H26" s="413">
        <v>2</v>
      </c>
      <c r="I26" s="414">
        <v>9</v>
      </c>
      <c r="J26" s="74"/>
      <c r="K26" s="12" t="str">
        <f t="shared" si="0"/>
        <v>TEF</v>
      </c>
      <c r="L26" s="12" t="str">
        <f t="shared" si="1"/>
        <v>PART_TEF_</v>
      </c>
      <c r="M26" s="12" t="str">
        <f t="shared" si="2"/>
        <v>NO</v>
      </c>
      <c r="N26" s="14" t="str">
        <f t="shared" si="3"/>
        <v/>
      </c>
      <c r="O26" s="14" t="str">
        <f>IF(COUNTBLANK(G26)=1,"",IF(G26&lt;VLOOKUP(L26,FeeLookup!$J$29:$L$30,2,FALSE),"YES","NO"))</f>
        <v/>
      </c>
      <c r="P26" s="14" t="str">
        <f>IF(COUNTBLANK(G26)=1,"",IF(G26&gt;VLOOKUP(L26,FeeLookup!$J$29:$L$30,3,FALSE),"YES","NO"))</f>
        <v/>
      </c>
      <c r="Q26" s="14" t="str">
        <f t="shared" si="4"/>
        <v/>
      </c>
    </row>
    <row r="27" spans="1:21" s="344" customFormat="1" x14ac:dyDescent="0.25">
      <c r="A27" s="71">
        <v>10</v>
      </c>
      <c r="B27" s="18"/>
      <c r="C27" s="18"/>
      <c r="D27" s="18"/>
      <c r="E27" s="18"/>
      <c r="F27" s="497"/>
      <c r="G27" s="497"/>
      <c r="H27" s="413">
        <v>2</v>
      </c>
      <c r="I27" s="414">
        <v>10</v>
      </c>
      <c r="J27" s="74"/>
      <c r="K27" s="12" t="str">
        <f t="shared" si="0"/>
        <v>TEF</v>
      </c>
      <c r="L27" s="12" t="str">
        <f t="shared" si="1"/>
        <v>PART_TEF_</v>
      </c>
      <c r="M27" s="12" t="str">
        <f t="shared" si="2"/>
        <v>NO</v>
      </c>
      <c r="N27" s="14" t="str">
        <f t="shared" si="3"/>
        <v/>
      </c>
      <c r="O27" s="14" t="str">
        <f>IF(COUNTBLANK(G27)=1,"",IF(G27&lt;VLOOKUP(L27,FeeLookup!$J$29:$L$30,2,FALSE),"YES","NO"))</f>
        <v/>
      </c>
      <c r="P27" s="14" t="str">
        <f>IF(COUNTBLANK(G27)=1,"",IF(G27&gt;VLOOKUP(L27,FeeLookup!$J$29:$L$30,3,FALSE),"YES","NO"))</f>
        <v/>
      </c>
      <c r="Q27" s="14" t="str">
        <f t="shared" si="4"/>
        <v/>
      </c>
    </row>
    <row r="28" spans="1:21" s="344" customFormat="1" x14ac:dyDescent="0.25">
      <c r="A28" s="71">
        <v>11</v>
      </c>
      <c r="B28" s="18"/>
      <c r="C28" s="18"/>
      <c r="D28" s="18"/>
      <c r="E28" s="18"/>
      <c r="F28" s="497"/>
      <c r="G28" s="497"/>
      <c r="H28" s="413">
        <v>2</v>
      </c>
      <c r="I28" s="414">
        <v>11</v>
      </c>
      <c r="J28" s="74"/>
      <c r="K28" s="12" t="str">
        <f t="shared" si="0"/>
        <v>TEF</v>
      </c>
      <c r="L28" s="12" t="str">
        <f t="shared" si="1"/>
        <v>PART_TEF_</v>
      </c>
      <c r="M28" s="12" t="str">
        <f t="shared" si="2"/>
        <v>NO</v>
      </c>
      <c r="N28" s="14" t="str">
        <f t="shared" si="3"/>
        <v/>
      </c>
      <c r="O28" s="14" t="str">
        <f>IF(COUNTBLANK(G28)=1,"",IF(G28&lt;VLOOKUP(L28,FeeLookup!$J$29:$L$30,2,FALSE),"YES","NO"))</f>
        <v/>
      </c>
      <c r="P28" s="14" t="str">
        <f>IF(COUNTBLANK(G28)=1,"",IF(G28&gt;VLOOKUP(L28,FeeLookup!$J$29:$L$30,3,FALSE),"YES","NO"))</f>
        <v/>
      </c>
      <c r="Q28" s="14" t="str">
        <f t="shared" si="4"/>
        <v/>
      </c>
    </row>
    <row r="29" spans="1:21" s="344" customFormat="1" x14ac:dyDescent="0.25">
      <c r="A29" s="71">
        <v>12</v>
      </c>
      <c r="B29" s="18"/>
      <c r="C29" s="18"/>
      <c r="D29" s="18"/>
      <c r="E29" s="18"/>
      <c r="F29" s="497"/>
      <c r="G29" s="497"/>
      <c r="H29" s="413">
        <v>2</v>
      </c>
      <c r="I29" s="414">
        <v>12</v>
      </c>
      <c r="J29" s="74"/>
      <c r="K29" s="12" t="str">
        <f t="shared" si="0"/>
        <v>TEF</v>
      </c>
      <c r="L29" s="12" t="str">
        <f t="shared" si="1"/>
        <v>PART_TEF_</v>
      </c>
      <c r="M29" s="12" t="str">
        <f t="shared" si="2"/>
        <v>NO</v>
      </c>
      <c r="N29" s="14" t="str">
        <f t="shared" si="3"/>
        <v/>
      </c>
      <c r="O29" s="14" t="str">
        <f>IF(COUNTBLANK(G29)=1,"",IF(G29&lt;VLOOKUP(L29,FeeLookup!$J$29:$L$30,2,FALSE),"YES","NO"))</f>
        <v/>
      </c>
      <c r="P29" s="14" t="str">
        <f>IF(COUNTBLANK(G29)=1,"",IF(G29&gt;VLOOKUP(L29,FeeLookup!$J$29:$L$30,3,FALSE),"YES","NO"))</f>
        <v/>
      </c>
      <c r="Q29" s="14" t="str">
        <f t="shared" si="4"/>
        <v/>
      </c>
    </row>
    <row r="30" spans="1:21" s="344" customFormat="1" x14ac:dyDescent="0.25">
      <c r="A30" s="71">
        <v>13</v>
      </c>
      <c r="B30" s="18"/>
      <c r="C30" s="18"/>
      <c r="D30" s="18"/>
      <c r="E30" s="18"/>
      <c r="F30" s="497"/>
      <c r="G30" s="497"/>
      <c r="H30" s="413">
        <v>2</v>
      </c>
      <c r="I30" s="414">
        <v>13</v>
      </c>
      <c r="J30" s="74"/>
      <c r="K30" s="12" t="str">
        <f t="shared" si="0"/>
        <v>TEF</v>
      </c>
      <c r="L30" s="12" t="str">
        <f t="shared" si="1"/>
        <v>PART_TEF_</v>
      </c>
      <c r="M30" s="12" t="str">
        <f t="shared" si="2"/>
        <v>NO</v>
      </c>
      <c r="N30" s="14" t="str">
        <f t="shared" si="3"/>
        <v/>
      </c>
      <c r="O30" s="14" t="str">
        <f>IF(COUNTBLANK(G30)=1,"",IF(G30&lt;VLOOKUP(L30,FeeLookup!$J$29:$L$30,2,FALSE),"YES","NO"))</f>
        <v/>
      </c>
      <c r="P30" s="14" t="str">
        <f>IF(COUNTBLANK(G30)=1,"",IF(G30&gt;VLOOKUP(L30,FeeLookup!$J$29:$L$30,3,FALSE),"YES","NO"))</f>
        <v/>
      </c>
      <c r="Q30" s="14" t="str">
        <f t="shared" si="4"/>
        <v/>
      </c>
    </row>
    <row r="31" spans="1:21" s="344" customFormat="1" x14ac:dyDescent="0.25">
      <c r="A31" s="71">
        <v>14</v>
      </c>
      <c r="B31" s="18"/>
      <c r="C31" s="18"/>
      <c r="D31" s="18"/>
      <c r="E31" s="18"/>
      <c r="F31" s="497"/>
      <c r="G31" s="497"/>
      <c r="H31" s="413">
        <v>2</v>
      </c>
      <c r="I31" s="414">
        <v>14</v>
      </c>
      <c r="J31" s="74"/>
      <c r="K31" s="12" t="str">
        <f t="shared" si="0"/>
        <v>TEF</v>
      </c>
      <c r="L31" s="12" t="str">
        <f t="shared" si="1"/>
        <v>PART_TEF_</v>
      </c>
      <c r="M31" s="12" t="str">
        <f t="shared" si="2"/>
        <v>NO</v>
      </c>
      <c r="N31" s="14" t="str">
        <f t="shared" si="3"/>
        <v/>
      </c>
      <c r="O31" s="14" t="str">
        <f>IF(COUNTBLANK(G31)=1,"",IF(G31&lt;VLOOKUP(L31,FeeLookup!$J$29:$L$30,2,FALSE),"YES","NO"))</f>
        <v/>
      </c>
      <c r="P31" s="14" t="str">
        <f>IF(COUNTBLANK(G31)=1,"",IF(G31&gt;VLOOKUP(L31,FeeLookup!$J$29:$L$30,3,FALSE),"YES","NO"))</f>
        <v/>
      </c>
      <c r="Q31" s="14" t="str">
        <f t="shared" si="4"/>
        <v/>
      </c>
    </row>
    <row r="32" spans="1:21" s="344" customFormat="1" x14ac:dyDescent="0.25">
      <c r="A32" s="71">
        <v>15</v>
      </c>
      <c r="B32" s="18"/>
      <c r="C32" s="18"/>
      <c r="D32" s="18"/>
      <c r="E32" s="18"/>
      <c r="F32" s="497"/>
      <c r="G32" s="497"/>
      <c r="H32" s="413">
        <v>2</v>
      </c>
      <c r="I32" s="414">
        <v>15</v>
      </c>
      <c r="J32" s="74"/>
      <c r="K32" s="12" t="str">
        <f t="shared" si="0"/>
        <v>TEF</v>
      </c>
      <c r="L32" s="12" t="str">
        <f t="shared" si="1"/>
        <v>PART_TEF_</v>
      </c>
      <c r="M32" s="12" t="str">
        <f t="shared" si="2"/>
        <v>NO</v>
      </c>
      <c r="N32" s="14" t="str">
        <f t="shared" si="3"/>
        <v/>
      </c>
      <c r="O32" s="14" t="str">
        <f>IF(COUNTBLANK(G32)=1,"",IF(G32&lt;VLOOKUP(L32,FeeLookup!$J$29:$L$30,2,FALSE),"YES","NO"))</f>
        <v/>
      </c>
      <c r="P32" s="14" t="str">
        <f>IF(COUNTBLANK(G32)=1,"",IF(G32&gt;VLOOKUP(L32,FeeLookup!$J$29:$L$30,3,FALSE),"YES","NO"))</f>
        <v/>
      </c>
      <c r="Q32" s="14" t="str">
        <f t="shared" si="4"/>
        <v/>
      </c>
    </row>
    <row r="33" spans="1:17" s="344" customFormat="1" x14ac:dyDescent="0.25">
      <c r="A33" s="71">
        <v>16</v>
      </c>
      <c r="B33" s="18"/>
      <c r="C33" s="18"/>
      <c r="D33" s="18"/>
      <c r="E33" s="18"/>
      <c r="F33" s="497"/>
      <c r="G33" s="497"/>
      <c r="H33" s="413">
        <v>2</v>
      </c>
      <c r="I33" s="414">
        <v>16</v>
      </c>
      <c r="J33" s="74"/>
      <c r="K33" s="12" t="str">
        <f t="shared" si="0"/>
        <v>TEF</v>
      </c>
      <c r="L33" s="12" t="str">
        <f t="shared" si="1"/>
        <v>PART_TEF_</v>
      </c>
      <c r="M33" s="12" t="str">
        <f t="shared" si="2"/>
        <v>NO</v>
      </c>
      <c r="N33" s="14" t="str">
        <f t="shared" si="3"/>
        <v/>
      </c>
      <c r="O33" s="14" t="str">
        <f>IF(COUNTBLANK(G33)=1,"",IF(G33&lt;VLOOKUP(L33,FeeLookup!$J$29:$L$30,2,FALSE),"YES","NO"))</f>
        <v/>
      </c>
      <c r="P33" s="14" t="str">
        <f>IF(COUNTBLANK(G33)=1,"",IF(G33&gt;VLOOKUP(L33,FeeLookup!$J$29:$L$30,3,FALSE),"YES","NO"))</f>
        <v/>
      </c>
      <c r="Q33" s="14" t="str">
        <f t="shared" si="4"/>
        <v/>
      </c>
    </row>
    <row r="34" spans="1:17" s="344" customFormat="1" x14ac:dyDescent="0.25">
      <c r="A34" s="71">
        <v>17</v>
      </c>
      <c r="B34" s="18"/>
      <c r="C34" s="18"/>
      <c r="D34" s="18"/>
      <c r="E34" s="18"/>
      <c r="F34" s="497"/>
      <c r="G34" s="497"/>
      <c r="H34" s="413">
        <v>2</v>
      </c>
      <c r="I34" s="414">
        <v>17</v>
      </c>
      <c r="J34" s="74"/>
      <c r="K34" s="12" t="str">
        <f t="shared" si="0"/>
        <v>TEF</v>
      </c>
      <c r="L34" s="12" t="str">
        <f t="shared" si="1"/>
        <v>PART_TEF_</v>
      </c>
      <c r="M34" s="12" t="str">
        <f t="shared" si="2"/>
        <v>NO</v>
      </c>
      <c r="N34" s="14" t="str">
        <f t="shared" si="3"/>
        <v/>
      </c>
      <c r="O34" s="14" t="str">
        <f>IF(COUNTBLANK(G34)=1,"",IF(G34&lt;VLOOKUP(L34,FeeLookup!$J$29:$L$30,2,FALSE),"YES","NO"))</f>
        <v/>
      </c>
      <c r="P34" s="14" t="str">
        <f>IF(COUNTBLANK(G34)=1,"",IF(G34&gt;VLOOKUP(L34,FeeLookup!$J$29:$L$30,3,FALSE),"YES","NO"))</f>
        <v/>
      </c>
      <c r="Q34" s="14" t="str">
        <f t="shared" si="4"/>
        <v/>
      </c>
    </row>
    <row r="35" spans="1:17" s="344" customFormat="1" x14ac:dyDescent="0.25">
      <c r="A35" s="71">
        <v>18</v>
      </c>
      <c r="B35" s="18"/>
      <c r="C35" s="18"/>
      <c r="D35" s="18"/>
      <c r="E35" s="18"/>
      <c r="F35" s="497"/>
      <c r="G35" s="497"/>
      <c r="H35" s="413">
        <v>2</v>
      </c>
      <c r="I35" s="414">
        <v>18</v>
      </c>
      <c r="J35" s="74"/>
      <c r="K35" s="12" t="str">
        <f t="shared" si="0"/>
        <v>TEF</v>
      </c>
      <c r="L35" s="12" t="str">
        <f t="shared" si="1"/>
        <v>PART_TEF_</v>
      </c>
      <c r="M35" s="12" t="str">
        <f t="shared" si="2"/>
        <v>NO</v>
      </c>
      <c r="N35" s="14" t="str">
        <f t="shared" si="3"/>
        <v/>
      </c>
      <c r="O35" s="14" t="str">
        <f>IF(COUNTBLANK(G35)=1,"",IF(G35&lt;VLOOKUP(L35,FeeLookup!$J$29:$L$30,2,FALSE),"YES","NO"))</f>
        <v/>
      </c>
      <c r="P35" s="14" t="str">
        <f>IF(COUNTBLANK(G35)=1,"",IF(G35&gt;VLOOKUP(L35,FeeLookup!$J$29:$L$30,3,FALSE),"YES","NO"))</f>
        <v/>
      </c>
      <c r="Q35" s="14" t="str">
        <f t="shared" si="4"/>
        <v/>
      </c>
    </row>
    <row r="36" spans="1:17" s="344" customFormat="1" x14ac:dyDescent="0.25">
      <c r="A36" s="71">
        <v>19</v>
      </c>
      <c r="B36" s="18"/>
      <c r="C36" s="18"/>
      <c r="D36" s="18"/>
      <c r="E36" s="18"/>
      <c r="F36" s="497"/>
      <c r="G36" s="497"/>
      <c r="H36" s="413">
        <v>2</v>
      </c>
      <c r="I36" s="414">
        <v>19</v>
      </c>
      <c r="J36" s="74"/>
      <c r="K36" s="12" t="str">
        <f t="shared" si="0"/>
        <v>TEF</v>
      </c>
      <c r="L36" s="12" t="str">
        <f t="shared" si="1"/>
        <v>PART_TEF_</v>
      </c>
      <c r="M36" s="12" t="str">
        <f t="shared" si="2"/>
        <v>NO</v>
      </c>
      <c r="N36" s="14" t="str">
        <f t="shared" si="3"/>
        <v/>
      </c>
      <c r="O36" s="14" t="str">
        <f>IF(COUNTBLANK(G36)=1,"",IF(G36&lt;VLOOKUP(L36,FeeLookup!$J$29:$L$30,2,FALSE),"YES","NO"))</f>
        <v/>
      </c>
      <c r="P36" s="14" t="str">
        <f>IF(COUNTBLANK(G36)=1,"",IF(G36&gt;VLOOKUP(L36,FeeLookup!$J$29:$L$30,3,FALSE),"YES","NO"))</f>
        <v/>
      </c>
      <c r="Q36" s="14" t="str">
        <f t="shared" si="4"/>
        <v/>
      </c>
    </row>
    <row r="37" spans="1:17" s="344" customFormat="1" x14ac:dyDescent="0.25">
      <c r="A37" s="71">
        <v>20</v>
      </c>
      <c r="B37" s="18"/>
      <c r="C37" s="18"/>
      <c r="D37" s="18"/>
      <c r="E37" s="18"/>
      <c r="F37" s="497"/>
      <c r="G37" s="497"/>
      <c r="H37" s="413">
        <v>2</v>
      </c>
      <c r="I37" s="414">
        <v>20</v>
      </c>
      <c r="J37" s="74"/>
      <c r="K37" s="12" t="str">
        <f t="shared" si="0"/>
        <v>TEF</v>
      </c>
      <c r="L37" s="12" t="str">
        <f t="shared" si="1"/>
        <v>PART_TEF_</v>
      </c>
      <c r="M37" s="12" t="str">
        <f t="shared" si="2"/>
        <v>NO</v>
      </c>
      <c r="N37" s="14" t="str">
        <f t="shared" si="3"/>
        <v/>
      </c>
      <c r="O37" s="14" t="str">
        <f>IF(COUNTBLANK(G37)=1,"",IF(G37&lt;VLOOKUP(L37,FeeLookup!$J$29:$L$30,2,FALSE),"YES","NO"))</f>
        <v/>
      </c>
      <c r="P37" s="14" t="str">
        <f>IF(COUNTBLANK(G37)=1,"",IF(G37&gt;VLOOKUP(L37,FeeLookup!$J$29:$L$30,3,FALSE),"YES","NO"))</f>
        <v/>
      </c>
      <c r="Q37" s="14" t="str">
        <f t="shared" si="4"/>
        <v/>
      </c>
    </row>
    <row r="38" spans="1:17" s="344" customFormat="1" x14ac:dyDescent="0.25">
      <c r="A38" s="71">
        <v>21</v>
      </c>
      <c r="B38" s="18"/>
      <c r="C38" s="18"/>
      <c r="D38" s="18"/>
      <c r="E38" s="18"/>
      <c r="F38" s="497"/>
      <c r="G38" s="497"/>
      <c r="H38" s="413">
        <v>2</v>
      </c>
      <c r="I38" s="414">
        <v>21</v>
      </c>
      <c r="J38" s="74"/>
      <c r="K38" s="12" t="str">
        <f t="shared" si="0"/>
        <v>TEF</v>
      </c>
      <c r="L38" s="12" t="str">
        <f t="shared" si="1"/>
        <v>PART_TEF_</v>
      </c>
      <c r="M38" s="12" t="str">
        <f t="shared" si="2"/>
        <v>NO</v>
      </c>
      <c r="N38" s="14" t="str">
        <f t="shared" si="3"/>
        <v/>
      </c>
      <c r="O38" s="14" t="str">
        <f>IF(COUNTBLANK(G38)=1,"",IF(G38&lt;VLOOKUP(L38,FeeLookup!$J$29:$L$30,2,FALSE),"YES","NO"))</f>
        <v/>
      </c>
      <c r="P38" s="14" t="str">
        <f>IF(COUNTBLANK(G38)=1,"",IF(G38&gt;VLOOKUP(L38,FeeLookup!$J$29:$L$30,3,FALSE),"YES","NO"))</f>
        <v/>
      </c>
      <c r="Q38" s="14" t="str">
        <f t="shared" si="4"/>
        <v/>
      </c>
    </row>
    <row r="39" spans="1:17" s="344" customFormat="1" x14ac:dyDescent="0.25">
      <c r="A39" s="71">
        <v>22</v>
      </c>
      <c r="B39" s="18"/>
      <c r="C39" s="18"/>
      <c r="D39" s="18"/>
      <c r="E39" s="18"/>
      <c r="F39" s="497"/>
      <c r="G39" s="497"/>
      <c r="H39" s="413">
        <v>2</v>
      </c>
      <c r="I39" s="414">
        <v>22</v>
      </c>
      <c r="J39" s="74"/>
      <c r="K39" s="12" t="str">
        <f t="shared" si="0"/>
        <v>TEF</v>
      </c>
      <c r="L39" s="12" t="str">
        <f t="shared" si="1"/>
        <v>PART_TEF_</v>
      </c>
      <c r="M39" s="12" t="str">
        <f t="shared" si="2"/>
        <v>NO</v>
      </c>
      <c r="N39" s="14" t="str">
        <f t="shared" si="3"/>
        <v/>
      </c>
      <c r="O39" s="14" t="str">
        <f>IF(COUNTBLANK(G39)=1,"",IF(G39&lt;VLOOKUP(L39,FeeLookup!$J$29:$L$30,2,FALSE),"YES","NO"))</f>
        <v/>
      </c>
      <c r="P39" s="14" t="str">
        <f>IF(COUNTBLANK(G39)=1,"",IF(G39&gt;VLOOKUP(L39,FeeLookup!$J$29:$L$30,3,FALSE),"YES","NO"))</f>
        <v/>
      </c>
      <c r="Q39" s="14" t="str">
        <f t="shared" si="4"/>
        <v/>
      </c>
    </row>
    <row r="40" spans="1:17" s="344" customFormat="1" x14ac:dyDescent="0.25">
      <c r="A40" s="71">
        <v>23</v>
      </c>
      <c r="B40" s="18"/>
      <c r="C40" s="18"/>
      <c r="D40" s="18"/>
      <c r="E40" s="18"/>
      <c r="F40" s="497"/>
      <c r="G40" s="497"/>
      <c r="H40" s="413">
        <v>2</v>
      </c>
      <c r="I40" s="414">
        <v>23</v>
      </c>
      <c r="J40" s="74"/>
      <c r="K40" s="12" t="str">
        <f t="shared" si="0"/>
        <v>TEF</v>
      </c>
      <c r="L40" s="12" t="str">
        <f t="shared" si="1"/>
        <v>PART_TEF_</v>
      </c>
      <c r="M40" s="12" t="str">
        <f t="shared" si="2"/>
        <v>NO</v>
      </c>
      <c r="N40" s="14" t="str">
        <f t="shared" si="3"/>
        <v/>
      </c>
      <c r="O40" s="14" t="str">
        <f>IF(COUNTBLANK(G40)=1,"",IF(G40&lt;VLOOKUP(L40,FeeLookup!$J$29:$L$30,2,FALSE),"YES","NO"))</f>
        <v/>
      </c>
      <c r="P40" s="14" t="str">
        <f>IF(COUNTBLANK(G40)=1,"",IF(G40&gt;VLOOKUP(L40,FeeLookup!$J$29:$L$30,3,FALSE),"YES","NO"))</f>
        <v/>
      </c>
      <c r="Q40" s="14" t="str">
        <f t="shared" si="4"/>
        <v/>
      </c>
    </row>
    <row r="41" spans="1:17" s="344" customFormat="1" x14ac:dyDescent="0.25">
      <c r="A41" s="71">
        <v>24</v>
      </c>
      <c r="B41" s="18"/>
      <c r="C41" s="18"/>
      <c r="D41" s="18"/>
      <c r="E41" s="18"/>
      <c r="F41" s="497"/>
      <c r="G41" s="497"/>
      <c r="H41" s="413">
        <v>2</v>
      </c>
      <c r="I41" s="414">
        <v>24</v>
      </c>
      <c r="J41" s="74"/>
      <c r="K41" s="12" t="str">
        <f t="shared" si="0"/>
        <v>TEF</v>
      </c>
      <c r="L41" s="12" t="str">
        <f t="shared" si="1"/>
        <v>PART_TEF_</v>
      </c>
      <c r="M41" s="12" t="str">
        <f t="shared" si="2"/>
        <v>NO</v>
      </c>
      <c r="N41" s="14" t="str">
        <f t="shared" si="3"/>
        <v/>
      </c>
      <c r="O41" s="14" t="str">
        <f>IF(COUNTBLANK(G41)=1,"",IF(G41&lt;VLOOKUP(L41,FeeLookup!$J$29:$L$30,2,FALSE),"YES","NO"))</f>
        <v/>
      </c>
      <c r="P41" s="14" t="str">
        <f>IF(COUNTBLANK(G41)=1,"",IF(G41&gt;VLOOKUP(L41,FeeLookup!$J$29:$L$30,3,FALSE),"YES","NO"))</f>
        <v/>
      </c>
      <c r="Q41" s="14" t="str">
        <f t="shared" si="4"/>
        <v/>
      </c>
    </row>
    <row r="42" spans="1:17" s="344" customFormat="1" x14ac:dyDescent="0.25">
      <c r="A42" s="71">
        <v>25</v>
      </c>
      <c r="B42" s="18"/>
      <c r="C42" s="18"/>
      <c r="D42" s="18"/>
      <c r="E42" s="18"/>
      <c r="F42" s="497"/>
      <c r="G42" s="497"/>
      <c r="H42" s="413">
        <v>2</v>
      </c>
      <c r="I42" s="414">
        <v>25</v>
      </c>
      <c r="J42" s="74"/>
      <c r="K42" s="12" t="str">
        <f t="shared" si="0"/>
        <v>TEF</v>
      </c>
      <c r="L42" s="12" t="str">
        <f t="shared" si="1"/>
        <v>PART_TEF_</v>
      </c>
      <c r="M42" s="12" t="str">
        <f t="shared" si="2"/>
        <v>NO</v>
      </c>
      <c r="N42" s="14" t="str">
        <f t="shared" si="3"/>
        <v/>
      </c>
      <c r="O42" s="14" t="str">
        <f>IF(COUNTBLANK(G42)=1,"",IF(G42&lt;VLOOKUP(L42,FeeLookup!$J$29:$L$30,2,FALSE),"YES","NO"))</f>
        <v/>
      </c>
      <c r="P42" s="14" t="str">
        <f>IF(COUNTBLANK(G42)=1,"",IF(G42&gt;VLOOKUP(L42,FeeLookup!$J$29:$L$30,3,FALSE),"YES","NO"))</f>
        <v/>
      </c>
      <c r="Q42" s="14" t="str">
        <f t="shared" si="4"/>
        <v/>
      </c>
    </row>
    <row r="43" spans="1:17" s="344" customFormat="1" x14ac:dyDescent="0.25">
      <c r="A43" s="71">
        <v>26</v>
      </c>
      <c r="B43" s="18"/>
      <c r="C43" s="18"/>
      <c r="D43" s="18"/>
      <c r="E43" s="18"/>
      <c r="F43" s="497"/>
      <c r="G43" s="497"/>
      <c r="H43" s="413">
        <v>2</v>
      </c>
      <c r="I43" s="414">
        <v>26</v>
      </c>
      <c r="J43" s="74"/>
      <c r="K43" s="12" t="str">
        <f t="shared" si="0"/>
        <v>TEF</v>
      </c>
      <c r="L43" s="12" t="str">
        <f t="shared" si="1"/>
        <v>PART_TEF_</v>
      </c>
      <c r="M43" s="12" t="str">
        <f t="shared" si="2"/>
        <v>NO</v>
      </c>
      <c r="N43" s="14" t="str">
        <f t="shared" si="3"/>
        <v/>
      </c>
      <c r="O43" s="14" t="str">
        <f>IF(COUNTBLANK(G43)=1,"",IF(G43&lt;VLOOKUP(L43,FeeLookup!$J$29:$L$30,2,FALSE),"YES","NO"))</f>
        <v/>
      </c>
      <c r="P43" s="14" t="str">
        <f>IF(COUNTBLANK(G43)=1,"",IF(G43&gt;VLOOKUP(L43,FeeLookup!$J$29:$L$30,3,FALSE),"YES","NO"))</f>
        <v/>
      </c>
      <c r="Q43" s="14" t="str">
        <f t="shared" si="4"/>
        <v/>
      </c>
    </row>
    <row r="44" spans="1:17" s="344" customFormat="1" x14ac:dyDescent="0.25">
      <c r="A44" s="71">
        <v>27</v>
      </c>
      <c r="B44" s="18"/>
      <c r="C44" s="18"/>
      <c r="D44" s="18"/>
      <c r="E44" s="18"/>
      <c r="F44" s="497"/>
      <c r="G44" s="497"/>
      <c r="H44" s="413">
        <v>2</v>
      </c>
      <c r="I44" s="414">
        <v>27</v>
      </c>
      <c r="J44" s="74"/>
      <c r="K44" s="12" t="str">
        <f t="shared" si="0"/>
        <v>TEF</v>
      </c>
      <c r="L44" s="12" t="str">
        <f t="shared" si="1"/>
        <v>PART_TEF_</v>
      </c>
      <c r="M44" s="12" t="str">
        <f t="shared" si="2"/>
        <v>NO</v>
      </c>
      <c r="N44" s="14" t="str">
        <f t="shared" si="3"/>
        <v/>
      </c>
      <c r="O44" s="14" t="str">
        <f>IF(COUNTBLANK(G44)=1,"",IF(G44&lt;VLOOKUP(L44,FeeLookup!$J$29:$L$30,2,FALSE),"YES","NO"))</f>
        <v/>
      </c>
      <c r="P44" s="14" t="str">
        <f>IF(COUNTBLANK(G44)=1,"",IF(G44&gt;VLOOKUP(L44,FeeLookup!$J$29:$L$30,3,FALSE),"YES","NO"))</f>
        <v/>
      </c>
      <c r="Q44" s="14" t="str">
        <f t="shared" si="4"/>
        <v/>
      </c>
    </row>
    <row r="45" spans="1:17" s="344" customFormat="1" x14ac:dyDescent="0.25">
      <c r="A45" s="71">
        <v>28</v>
      </c>
      <c r="B45" s="18"/>
      <c r="C45" s="18"/>
      <c r="D45" s="18"/>
      <c r="E45" s="18"/>
      <c r="F45" s="497"/>
      <c r="G45" s="497"/>
      <c r="H45" s="413">
        <v>2</v>
      </c>
      <c r="I45" s="414">
        <v>28</v>
      </c>
      <c r="J45" s="74"/>
      <c r="K45" s="12" t="str">
        <f t="shared" si="0"/>
        <v>TEF</v>
      </c>
      <c r="L45" s="12" t="str">
        <f t="shared" si="1"/>
        <v>PART_TEF_</v>
      </c>
      <c r="M45" s="12" t="str">
        <f t="shared" si="2"/>
        <v>NO</v>
      </c>
      <c r="N45" s="14" t="str">
        <f t="shared" si="3"/>
        <v/>
      </c>
      <c r="O45" s="14" t="str">
        <f>IF(COUNTBLANK(G45)=1,"",IF(G45&lt;VLOOKUP(L45,FeeLookup!$J$29:$L$30,2,FALSE),"YES","NO"))</f>
        <v/>
      </c>
      <c r="P45" s="14" t="str">
        <f>IF(COUNTBLANK(G45)=1,"",IF(G45&gt;VLOOKUP(L45,FeeLookup!$J$29:$L$30,3,FALSE),"YES","NO"))</f>
        <v/>
      </c>
      <c r="Q45" s="14" t="str">
        <f t="shared" si="4"/>
        <v/>
      </c>
    </row>
    <row r="46" spans="1:17" s="344" customFormat="1" x14ac:dyDescent="0.25">
      <c r="A46" s="71">
        <v>29</v>
      </c>
      <c r="B46" s="18"/>
      <c r="C46" s="18"/>
      <c r="D46" s="18"/>
      <c r="E46" s="18"/>
      <c r="F46" s="497"/>
      <c r="G46" s="497"/>
      <c r="H46" s="413">
        <v>2</v>
      </c>
      <c r="I46" s="414">
        <v>29</v>
      </c>
      <c r="J46" s="74"/>
      <c r="K46" s="12" t="str">
        <f t="shared" si="0"/>
        <v>TEF</v>
      </c>
      <c r="L46" s="12" t="str">
        <f t="shared" si="1"/>
        <v>PART_TEF_</v>
      </c>
      <c r="M46" s="12" t="str">
        <f t="shared" si="2"/>
        <v>NO</v>
      </c>
      <c r="N46" s="14" t="str">
        <f t="shared" si="3"/>
        <v/>
      </c>
      <c r="O46" s="14" t="str">
        <f>IF(COUNTBLANK(G46)=1,"",IF(G46&lt;VLOOKUP(L46,FeeLookup!$J$29:$L$30,2,FALSE),"YES","NO"))</f>
        <v/>
      </c>
      <c r="P46" s="14" t="str">
        <f>IF(COUNTBLANK(G46)=1,"",IF(G46&gt;VLOOKUP(L46,FeeLookup!$J$29:$L$30,3,FALSE),"YES","NO"))</f>
        <v/>
      </c>
      <c r="Q46" s="14" t="str">
        <f t="shared" si="4"/>
        <v/>
      </c>
    </row>
    <row r="47" spans="1:17" s="344" customFormat="1" x14ac:dyDescent="0.25">
      <c r="A47" s="71">
        <v>30</v>
      </c>
      <c r="B47" s="18"/>
      <c r="C47" s="18"/>
      <c r="D47" s="18"/>
      <c r="E47" s="18"/>
      <c r="F47" s="497"/>
      <c r="G47" s="497"/>
      <c r="H47" s="413">
        <v>2</v>
      </c>
      <c r="I47" s="414">
        <v>30</v>
      </c>
      <c r="J47" s="74"/>
      <c r="K47" s="12" t="str">
        <f t="shared" si="0"/>
        <v>TEF</v>
      </c>
      <c r="L47" s="12" t="str">
        <f t="shared" si="1"/>
        <v>PART_TEF_</v>
      </c>
      <c r="M47" s="12" t="str">
        <f t="shared" si="2"/>
        <v>NO</v>
      </c>
      <c r="N47" s="14" t="str">
        <f t="shared" si="3"/>
        <v/>
      </c>
      <c r="O47" s="14" t="str">
        <f>IF(COUNTBLANK(G47)=1,"",IF(G47&lt;VLOOKUP(L47,FeeLookup!$J$29:$L$30,2,FALSE),"YES","NO"))</f>
        <v/>
      </c>
      <c r="P47" s="14" t="str">
        <f>IF(COUNTBLANK(G47)=1,"",IF(G47&gt;VLOOKUP(L47,FeeLookup!$J$29:$L$30,3,FALSE),"YES","NO"))</f>
        <v/>
      </c>
      <c r="Q47" s="14" t="str">
        <f t="shared" si="4"/>
        <v/>
      </c>
    </row>
    <row r="48" spans="1:17" s="344" customFormat="1" x14ac:dyDescent="0.25">
      <c r="A48" s="71">
        <v>31</v>
      </c>
      <c r="B48" s="18"/>
      <c r="C48" s="18"/>
      <c r="D48" s="18"/>
      <c r="E48" s="18"/>
      <c r="F48" s="497"/>
      <c r="G48" s="497"/>
      <c r="H48" s="413">
        <v>2</v>
      </c>
      <c r="I48" s="414">
        <v>31</v>
      </c>
      <c r="J48" s="74"/>
      <c r="K48" s="12" t="str">
        <f t="shared" si="0"/>
        <v>TEF</v>
      </c>
      <c r="L48" s="12" t="str">
        <f t="shared" si="1"/>
        <v>PART_TEF_</v>
      </c>
      <c r="M48" s="12" t="str">
        <f t="shared" si="2"/>
        <v>NO</v>
      </c>
      <c r="N48" s="14" t="str">
        <f t="shared" si="3"/>
        <v/>
      </c>
      <c r="O48" s="14" t="str">
        <f>IF(COUNTBLANK(G48)=1,"",IF(G48&lt;VLOOKUP(L48,FeeLookup!$J$29:$L$30,2,FALSE),"YES","NO"))</f>
        <v/>
      </c>
      <c r="P48" s="14" t="str">
        <f>IF(COUNTBLANK(G48)=1,"",IF(G48&gt;VLOOKUP(L48,FeeLookup!$J$29:$L$30,3,FALSE),"YES","NO"))</f>
        <v/>
      </c>
      <c r="Q48" s="14" t="str">
        <f t="shared" si="4"/>
        <v/>
      </c>
    </row>
    <row r="49" spans="1:17" s="344" customFormat="1" x14ac:dyDescent="0.25">
      <c r="A49" s="71">
        <v>32</v>
      </c>
      <c r="B49" s="18"/>
      <c r="C49" s="18"/>
      <c r="D49" s="18"/>
      <c r="E49" s="18"/>
      <c r="F49" s="497"/>
      <c r="G49" s="497"/>
      <c r="H49" s="413">
        <v>2</v>
      </c>
      <c r="I49" s="414">
        <v>32</v>
      </c>
      <c r="J49" s="74"/>
      <c r="K49" s="12" t="str">
        <f t="shared" si="0"/>
        <v>TEF</v>
      </c>
      <c r="L49" s="12" t="str">
        <f t="shared" si="1"/>
        <v>PART_TEF_</v>
      </c>
      <c r="M49" s="12" t="str">
        <f t="shared" si="2"/>
        <v>NO</v>
      </c>
      <c r="N49" s="14" t="str">
        <f t="shared" si="3"/>
        <v/>
      </c>
      <c r="O49" s="14" t="str">
        <f>IF(COUNTBLANK(G49)=1,"",IF(G49&lt;VLOOKUP(L49,FeeLookup!$J$29:$L$30,2,FALSE),"YES","NO"))</f>
        <v/>
      </c>
      <c r="P49" s="14" t="str">
        <f>IF(COUNTBLANK(G49)=1,"",IF(G49&gt;VLOOKUP(L49,FeeLookup!$J$29:$L$30,3,FALSE),"YES","NO"))</f>
        <v/>
      </c>
      <c r="Q49" s="14" t="str">
        <f t="shared" si="4"/>
        <v/>
      </c>
    </row>
    <row r="50" spans="1:17" s="344" customFormat="1" x14ac:dyDescent="0.25">
      <c r="A50" s="71">
        <v>33</v>
      </c>
      <c r="B50" s="18"/>
      <c r="C50" s="18"/>
      <c r="D50" s="18"/>
      <c r="E50" s="18"/>
      <c r="F50" s="497"/>
      <c r="G50" s="497"/>
      <c r="H50" s="413">
        <v>2</v>
      </c>
      <c r="I50" s="414">
        <v>33</v>
      </c>
      <c r="J50" s="74"/>
      <c r="K50" s="12" t="str">
        <f t="shared" si="0"/>
        <v>TEF</v>
      </c>
      <c r="L50" s="12" t="str">
        <f t="shared" si="1"/>
        <v>PART_TEF_</v>
      </c>
      <c r="M50" s="12" t="str">
        <f t="shared" si="2"/>
        <v>NO</v>
      </c>
      <c r="N50" s="14" t="str">
        <f t="shared" si="3"/>
        <v/>
      </c>
      <c r="O50" s="14" t="str">
        <f>IF(COUNTBLANK(G50)=1,"",IF(G50&lt;VLOOKUP(L50,FeeLookup!$J$29:$L$30,2,FALSE),"YES","NO"))</f>
        <v/>
      </c>
      <c r="P50" s="14" t="str">
        <f>IF(COUNTBLANK(G50)=1,"",IF(G50&gt;VLOOKUP(L50,FeeLookup!$J$29:$L$30,3,FALSE),"YES","NO"))</f>
        <v/>
      </c>
      <c r="Q50" s="14" t="str">
        <f t="shared" si="4"/>
        <v/>
      </c>
    </row>
    <row r="51" spans="1:17" s="344" customFormat="1" x14ac:dyDescent="0.25">
      <c r="A51" s="71">
        <v>34</v>
      </c>
      <c r="B51" s="18"/>
      <c r="C51" s="18"/>
      <c r="D51" s="18"/>
      <c r="E51" s="18"/>
      <c r="F51" s="497"/>
      <c r="G51" s="497"/>
      <c r="H51" s="413">
        <v>2</v>
      </c>
      <c r="I51" s="414">
        <v>34</v>
      </c>
      <c r="J51" s="74"/>
      <c r="K51" s="12" t="str">
        <f t="shared" si="0"/>
        <v>TEF</v>
      </c>
      <c r="L51" s="12" t="str">
        <f t="shared" si="1"/>
        <v>PART_TEF_</v>
      </c>
      <c r="M51" s="12" t="str">
        <f t="shared" si="2"/>
        <v>NO</v>
      </c>
      <c r="N51" s="14" t="str">
        <f t="shared" si="3"/>
        <v/>
      </c>
      <c r="O51" s="14" t="str">
        <f>IF(COUNTBLANK(G51)=1,"",IF(G51&lt;VLOOKUP(L51,FeeLookup!$J$29:$L$30,2,FALSE),"YES","NO"))</f>
        <v/>
      </c>
      <c r="P51" s="14" t="str">
        <f>IF(COUNTBLANK(G51)=1,"",IF(G51&gt;VLOOKUP(L51,FeeLookup!$J$29:$L$30,3,FALSE),"YES","NO"))</f>
        <v/>
      </c>
      <c r="Q51" s="14" t="str">
        <f t="shared" si="4"/>
        <v/>
      </c>
    </row>
    <row r="52" spans="1:17" s="344" customFormat="1" x14ac:dyDescent="0.25">
      <c r="A52" s="71">
        <v>35</v>
      </c>
      <c r="B52" s="18"/>
      <c r="C52" s="18"/>
      <c r="D52" s="18"/>
      <c r="E52" s="18"/>
      <c r="F52" s="497"/>
      <c r="G52" s="497"/>
      <c r="H52" s="413">
        <v>2</v>
      </c>
      <c r="I52" s="414">
        <v>35</v>
      </c>
      <c r="J52" s="74"/>
      <c r="K52" s="12" t="str">
        <f t="shared" si="0"/>
        <v>TEF</v>
      </c>
      <c r="L52" s="12" t="str">
        <f t="shared" si="1"/>
        <v>PART_TEF_</v>
      </c>
      <c r="M52" s="12" t="str">
        <f t="shared" si="2"/>
        <v>NO</v>
      </c>
      <c r="N52" s="14" t="str">
        <f t="shared" si="3"/>
        <v/>
      </c>
      <c r="O52" s="14" t="str">
        <f>IF(COUNTBLANK(G52)=1,"",IF(G52&lt;VLOOKUP(L52,FeeLookup!$J$29:$L$30,2,FALSE),"YES","NO"))</f>
        <v/>
      </c>
      <c r="P52" s="14" t="str">
        <f>IF(COUNTBLANK(G52)=1,"",IF(G52&gt;VLOOKUP(L52,FeeLookup!$J$29:$L$30,3,FALSE),"YES","NO"))</f>
        <v/>
      </c>
      <c r="Q52" s="14" t="str">
        <f t="shared" si="4"/>
        <v/>
      </c>
    </row>
    <row r="53" spans="1:17" s="344" customFormat="1" x14ac:dyDescent="0.25">
      <c r="A53" s="71">
        <v>36</v>
      </c>
      <c r="B53" s="18"/>
      <c r="C53" s="18"/>
      <c r="D53" s="18"/>
      <c r="E53" s="18"/>
      <c r="F53" s="497"/>
      <c r="G53" s="497"/>
      <c r="H53" s="413">
        <v>2</v>
      </c>
      <c r="I53" s="414">
        <v>36</v>
      </c>
      <c r="J53" s="74"/>
      <c r="K53" s="12" t="str">
        <f t="shared" si="0"/>
        <v>TEF</v>
      </c>
      <c r="L53" s="12" t="str">
        <f t="shared" si="1"/>
        <v>PART_TEF_</v>
      </c>
      <c r="M53" s="12" t="str">
        <f t="shared" si="2"/>
        <v>NO</v>
      </c>
      <c r="N53" s="14" t="str">
        <f t="shared" si="3"/>
        <v/>
      </c>
      <c r="O53" s="14" t="str">
        <f>IF(COUNTBLANK(G53)=1,"",IF(G53&lt;VLOOKUP(L53,FeeLookup!$J$29:$L$30,2,FALSE),"YES","NO"))</f>
        <v/>
      </c>
      <c r="P53" s="14" t="str">
        <f>IF(COUNTBLANK(G53)=1,"",IF(G53&gt;VLOOKUP(L53,FeeLookup!$J$29:$L$30,3,FALSE),"YES","NO"))</f>
        <v/>
      </c>
      <c r="Q53" s="14" t="str">
        <f t="shared" si="4"/>
        <v/>
      </c>
    </row>
    <row r="54" spans="1:17" s="344" customFormat="1" x14ac:dyDescent="0.25">
      <c r="A54" s="71">
        <v>37</v>
      </c>
      <c r="B54" s="18"/>
      <c r="C54" s="18"/>
      <c r="D54" s="18"/>
      <c r="E54" s="18"/>
      <c r="F54" s="497"/>
      <c r="G54" s="497"/>
      <c r="H54" s="413">
        <v>2</v>
      </c>
      <c r="I54" s="414">
        <v>37</v>
      </c>
      <c r="J54" s="74"/>
      <c r="K54" s="12" t="str">
        <f t="shared" si="0"/>
        <v>TEF</v>
      </c>
      <c r="L54" s="12" t="str">
        <f t="shared" si="1"/>
        <v>PART_TEF_</v>
      </c>
      <c r="M54" s="12" t="str">
        <f t="shared" si="2"/>
        <v>NO</v>
      </c>
      <c r="N54" s="14" t="str">
        <f t="shared" si="3"/>
        <v/>
      </c>
      <c r="O54" s="14" t="str">
        <f>IF(COUNTBLANK(G54)=1,"",IF(G54&lt;VLOOKUP(L54,FeeLookup!$J$29:$L$30,2,FALSE),"YES","NO"))</f>
        <v/>
      </c>
      <c r="P54" s="14" t="str">
        <f>IF(COUNTBLANK(G54)=1,"",IF(G54&gt;VLOOKUP(L54,FeeLookup!$J$29:$L$30,3,FALSE),"YES","NO"))</f>
        <v/>
      </c>
      <c r="Q54" s="14" t="str">
        <f t="shared" si="4"/>
        <v/>
      </c>
    </row>
    <row r="55" spans="1:17" s="344" customFormat="1" x14ac:dyDescent="0.25">
      <c r="A55" s="71">
        <v>38</v>
      </c>
      <c r="B55" s="18"/>
      <c r="C55" s="18"/>
      <c r="D55" s="18"/>
      <c r="E55" s="18"/>
      <c r="F55" s="497"/>
      <c r="G55" s="497"/>
      <c r="H55" s="413">
        <v>2</v>
      </c>
      <c r="I55" s="414">
        <v>38</v>
      </c>
      <c r="J55" s="74"/>
      <c r="K55" s="12" t="str">
        <f t="shared" si="0"/>
        <v>TEF</v>
      </c>
      <c r="L55" s="12" t="str">
        <f t="shared" si="1"/>
        <v>PART_TEF_</v>
      </c>
      <c r="M55" s="12" t="str">
        <f t="shared" si="2"/>
        <v>NO</v>
      </c>
      <c r="N55" s="14" t="str">
        <f t="shared" si="3"/>
        <v/>
      </c>
      <c r="O55" s="14" t="str">
        <f>IF(COUNTBLANK(G55)=1,"",IF(G55&lt;VLOOKUP(L55,FeeLookup!$J$29:$L$30,2,FALSE),"YES","NO"))</f>
        <v/>
      </c>
      <c r="P55" s="14" t="str">
        <f>IF(COUNTBLANK(G55)=1,"",IF(G55&gt;VLOOKUP(L55,FeeLookup!$J$29:$L$30,3,FALSE),"YES","NO"))</f>
        <v/>
      </c>
      <c r="Q55" s="14" t="str">
        <f t="shared" si="4"/>
        <v/>
      </c>
    </row>
    <row r="56" spans="1:17" s="344" customFormat="1" x14ac:dyDescent="0.25">
      <c r="A56" s="71">
        <v>39</v>
      </c>
      <c r="B56" s="18"/>
      <c r="C56" s="18"/>
      <c r="D56" s="18"/>
      <c r="E56" s="18"/>
      <c r="F56" s="497"/>
      <c r="G56" s="497"/>
      <c r="H56" s="413">
        <v>2</v>
      </c>
      <c r="I56" s="414">
        <v>39</v>
      </c>
      <c r="J56" s="74"/>
      <c r="K56" s="12" t="str">
        <f t="shared" si="0"/>
        <v>TEF</v>
      </c>
      <c r="L56" s="12" t="str">
        <f t="shared" si="1"/>
        <v>PART_TEF_</v>
      </c>
      <c r="M56" s="12" t="str">
        <f t="shared" si="2"/>
        <v>NO</v>
      </c>
      <c r="N56" s="14" t="str">
        <f t="shared" si="3"/>
        <v/>
      </c>
      <c r="O56" s="14" t="str">
        <f>IF(COUNTBLANK(G56)=1,"",IF(G56&lt;VLOOKUP(L56,FeeLookup!$J$29:$L$30,2,FALSE),"YES","NO"))</f>
        <v/>
      </c>
      <c r="P56" s="14" t="str">
        <f>IF(COUNTBLANK(G56)=1,"",IF(G56&gt;VLOOKUP(L56,FeeLookup!$J$29:$L$30,3,FALSE),"YES","NO"))</f>
        <v/>
      </c>
      <c r="Q56" s="14" t="str">
        <f t="shared" si="4"/>
        <v/>
      </c>
    </row>
    <row r="57" spans="1:17" s="344" customFormat="1" x14ac:dyDescent="0.25">
      <c r="A57" s="71">
        <v>40</v>
      </c>
      <c r="B57" s="18"/>
      <c r="C57" s="18"/>
      <c r="D57" s="18"/>
      <c r="E57" s="18"/>
      <c r="F57" s="497"/>
      <c r="G57" s="497"/>
      <c r="H57" s="413">
        <v>2</v>
      </c>
      <c r="I57" s="414">
        <v>40</v>
      </c>
      <c r="J57" s="74"/>
      <c r="K57" s="12" t="str">
        <f t="shared" si="0"/>
        <v>TEF</v>
      </c>
      <c r="L57" s="12" t="str">
        <f t="shared" si="1"/>
        <v>PART_TEF_</v>
      </c>
      <c r="M57" s="12" t="str">
        <f t="shared" si="2"/>
        <v>NO</v>
      </c>
      <c r="N57" s="14" t="str">
        <f t="shared" si="3"/>
        <v/>
      </c>
      <c r="O57" s="14" t="str">
        <f>IF(COUNTBLANK(G57)=1,"",IF(G57&lt;VLOOKUP(L57,FeeLookup!$J$29:$L$30,2,FALSE),"YES","NO"))</f>
        <v/>
      </c>
      <c r="P57" s="14" t="str">
        <f>IF(COUNTBLANK(G57)=1,"",IF(G57&gt;VLOOKUP(L57,FeeLookup!$J$29:$L$30,3,FALSE),"YES","NO"))</f>
        <v/>
      </c>
      <c r="Q57" s="14" t="str">
        <f t="shared" si="4"/>
        <v/>
      </c>
    </row>
    <row r="58" spans="1:17" s="344" customFormat="1" x14ac:dyDescent="0.25">
      <c r="A58" s="71">
        <v>41</v>
      </c>
      <c r="B58" s="18"/>
      <c r="C58" s="18"/>
      <c r="D58" s="18"/>
      <c r="E58" s="18"/>
      <c r="F58" s="497"/>
      <c r="G58" s="497"/>
      <c r="H58" s="413">
        <v>2</v>
      </c>
      <c r="I58" s="414">
        <v>41</v>
      </c>
      <c r="J58" s="74"/>
      <c r="K58" s="12" t="str">
        <f t="shared" si="0"/>
        <v>TEF</v>
      </c>
      <c r="L58" s="12" t="str">
        <f t="shared" si="1"/>
        <v>PART_TEF_</v>
      </c>
      <c r="M58" s="12" t="str">
        <f t="shared" si="2"/>
        <v>NO</v>
      </c>
      <c r="N58" s="14" t="str">
        <f t="shared" si="3"/>
        <v/>
      </c>
      <c r="O58" s="14" t="str">
        <f>IF(COUNTBLANK(G58)=1,"",IF(G58&lt;VLOOKUP(L58,FeeLookup!$J$29:$L$30,2,FALSE),"YES","NO"))</f>
        <v/>
      </c>
      <c r="P58" s="14" t="str">
        <f>IF(COUNTBLANK(G58)=1,"",IF(G58&gt;VLOOKUP(L58,FeeLookup!$J$29:$L$30,3,FALSE),"YES","NO"))</f>
        <v/>
      </c>
      <c r="Q58" s="14" t="str">
        <f t="shared" si="4"/>
        <v/>
      </c>
    </row>
    <row r="59" spans="1:17" s="344" customFormat="1" x14ac:dyDescent="0.25">
      <c r="A59" s="71">
        <v>42</v>
      </c>
      <c r="B59" s="18"/>
      <c r="C59" s="18"/>
      <c r="D59" s="18"/>
      <c r="E59" s="18"/>
      <c r="F59" s="497"/>
      <c r="G59" s="497"/>
      <c r="H59" s="413">
        <v>2</v>
      </c>
      <c r="I59" s="414">
        <v>42</v>
      </c>
      <c r="J59" s="74"/>
      <c r="K59" s="12" t="str">
        <f t="shared" si="0"/>
        <v>TEF</v>
      </c>
      <c r="L59" s="12" t="str">
        <f t="shared" si="1"/>
        <v>PART_TEF_</v>
      </c>
      <c r="M59" s="12" t="str">
        <f t="shared" si="2"/>
        <v>NO</v>
      </c>
      <c r="N59" s="14" t="str">
        <f t="shared" si="3"/>
        <v/>
      </c>
      <c r="O59" s="14" t="str">
        <f>IF(COUNTBLANK(G59)=1,"",IF(G59&lt;VLOOKUP(L59,FeeLookup!$J$29:$L$30,2,FALSE),"YES","NO"))</f>
        <v/>
      </c>
      <c r="P59" s="14" t="str">
        <f>IF(COUNTBLANK(G59)=1,"",IF(G59&gt;VLOOKUP(L59,FeeLookup!$J$29:$L$30,3,FALSE),"YES","NO"))</f>
        <v/>
      </c>
      <c r="Q59" s="14" t="str">
        <f t="shared" si="4"/>
        <v/>
      </c>
    </row>
    <row r="60" spans="1:17" s="344" customFormat="1" x14ac:dyDescent="0.25">
      <c r="A60" s="71">
        <v>43</v>
      </c>
      <c r="B60" s="18"/>
      <c r="C60" s="18"/>
      <c r="D60" s="18"/>
      <c r="E60" s="18"/>
      <c r="F60" s="497"/>
      <c r="G60" s="497"/>
      <c r="H60" s="413">
        <v>2</v>
      </c>
      <c r="I60" s="414">
        <v>43</v>
      </c>
      <c r="J60" s="74"/>
      <c r="K60" s="12" t="str">
        <f t="shared" si="0"/>
        <v>TEF</v>
      </c>
      <c r="L60" s="12" t="str">
        <f t="shared" si="1"/>
        <v>PART_TEF_</v>
      </c>
      <c r="M60" s="12" t="str">
        <f t="shared" si="2"/>
        <v>NO</v>
      </c>
      <c r="N60" s="14" t="str">
        <f t="shared" si="3"/>
        <v/>
      </c>
      <c r="O60" s="14" t="str">
        <f>IF(COUNTBLANK(G60)=1,"",IF(G60&lt;VLOOKUP(L60,FeeLookup!$J$29:$L$30,2,FALSE),"YES","NO"))</f>
        <v/>
      </c>
      <c r="P60" s="14" t="str">
        <f>IF(COUNTBLANK(G60)=1,"",IF(G60&gt;VLOOKUP(L60,FeeLookup!$J$29:$L$30,3,FALSE),"YES","NO"))</f>
        <v/>
      </c>
      <c r="Q60" s="14" t="str">
        <f t="shared" si="4"/>
        <v/>
      </c>
    </row>
    <row r="61" spans="1:17" s="344" customFormat="1" x14ac:dyDescent="0.25">
      <c r="A61" s="71">
        <v>44</v>
      </c>
      <c r="B61" s="18"/>
      <c r="C61" s="18"/>
      <c r="D61" s="18"/>
      <c r="E61" s="18"/>
      <c r="F61" s="497"/>
      <c r="G61" s="497"/>
      <c r="H61" s="413">
        <v>2</v>
      </c>
      <c r="I61" s="414">
        <v>44</v>
      </c>
      <c r="J61" s="74"/>
      <c r="K61" s="12" t="str">
        <f t="shared" si="0"/>
        <v>TEF</v>
      </c>
      <c r="L61" s="12" t="str">
        <f t="shared" si="1"/>
        <v>PART_TEF_</v>
      </c>
      <c r="M61" s="12" t="str">
        <f t="shared" si="2"/>
        <v>NO</v>
      </c>
      <c r="N61" s="14" t="str">
        <f t="shared" si="3"/>
        <v/>
      </c>
      <c r="O61" s="14" t="str">
        <f>IF(COUNTBLANK(G61)=1,"",IF(G61&lt;VLOOKUP(L61,FeeLookup!$J$29:$L$30,2,FALSE),"YES","NO"))</f>
        <v/>
      </c>
      <c r="P61" s="14" t="str">
        <f>IF(COUNTBLANK(G61)=1,"",IF(G61&gt;VLOOKUP(L61,FeeLookup!$J$29:$L$30,3,FALSE),"YES","NO"))</f>
        <v/>
      </c>
      <c r="Q61" s="14" t="str">
        <f t="shared" si="4"/>
        <v/>
      </c>
    </row>
    <row r="62" spans="1:17" s="344" customFormat="1" x14ac:dyDescent="0.25">
      <c r="A62" s="71">
        <v>45</v>
      </c>
      <c r="B62" s="18"/>
      <c r="C62" s="18"/>
      <c r="D62" s="18"/>
      <c r="E62" s="18"/>
      <c r="F62" s="497"/>
      <c r="G62" s="497"/>
      <c r="H62" s="413">
        <v>2</v>
      </c>
      <c r="I62" s="414">
        <v>45</v>
      </c>
      <c r="J62" s="74"/>
      <c r="K62" s="12" t="str">
        <f t="shared" si="0"/>
        <v>TEF</v>
      </c>
      <c r="L62" s="12" t="str">
        <f t="shared" si="1"/>
        <v>PART_TEF_</v>
      </c>
      <c r="M62" s="12" t="str">
        <f t="shared" si="2"/>
        <v>NO</v>
      </c>
      <c r="N62" s="14" t="str">
        <f t="shared" si="3"/>
        <v/>
      </c>
      <c r="O62" s="14" t="str">
        <f>IF(COUNTBLANK(G62)=1,"",IF(G62&lt;VLOOKUP(L62,FeeLookup!$J$29:$L$30,2,FALSE),"YES","NO"))</f>
        <v/>
      </c>
      <c r="P62" s="14" t="str">
        <f>IF(COUNTBLANK(G62)=1,"",IF(G62&gt;VLOOKUP(L62,FeeLookup!$J$29:$L$30,3,FALSE),"YES","NO"))</f>
        <v/>
      </c>
      <c r="Q62" s="14" t="str">
        <f t="shared" si="4"/>
        <v/>
      </c>
    </row>
    <row r="63" spans="1:17" s="344" customFormat="1" x14ac:dyDescent="0.25">
      <c r="A63" s="71">
        <v>46</v>
      </c>
      <c r="B63" s="18"/>
      <c r="C63" s="18"/>
      <c r="D63" s="18"/>
      <c r="E63" s="18"/>
      <c r="F63" s="497"/>
      <c r="G63" s="497"/>
      <c r="H63" s="413">
        <v>2</v>
      </c>
      <c r="I63" s="414">
        <v>46</v>
      </c>
      <c r="J63" s="74"/>
      <c r="K63" s="12" t="str">
        <f t="shared" si="0"/>
        <v>TEF</v>
      </c>
      <c r="L63" s="12" t="str">
        <f t="shared" si="1"/>
        <v>PART_TEF_</v>
      </c>
      <c r="M63" s="12" t="str">
        <f t="shared" si="2"/>
        <v>NO</v>
      </c>
      <c r="N63" s="14" t="str">
        <f t="shared" si="3"/>
        <v/>
      </c>
      <c r="O63" s="14" t="str">
        <f>IF(COUNTBLANK(G63)=1,"",IF(G63&lt;VLOOKUP(L63,FeeLookup!$J$29:$L$30,2,FALSE),"YES","NO"))</f>
        <v/>
      </c>
      <c r="P63" s="14" t="str">
        <f>IF(COUNTBLANK(G63)=1,"",IF(G63&gt;VLOOKUP(L63,FeeLookup!$J$29:$L$30,3,FALSE),"YES","NO"))</f>
        <v/>
      </c>
      <c r="Q63" s="14" t="str">
        <f t="shared" si="4"/>
        <v/>
      </c>
    </row>
    <row r="64" spans="1:17" s="344" customFormat="1" x14ac:dyDescent="0.25">
      <c r="A64" s="71">
        <v>47</v>
      </c>
      <c r="B64" s="18"/>
      <c r="C64" s="18"/>
      <c r="D64" s="18"/>
      <c r="E64" s="18"/>
      <c r="F64" s="497"/>
      <c r="G64" s="497"/>
      <c r="H64" s="413">
        <v>2</v>
      </c>
      <c r="I64" s="414">
        <v>47</v>
      </c>
      <c r="J64" s="74"/>
      <c r="K64" s="12" t="str">
        <f t="shared" si="0"/>
        <v>TEF</v>
      </c>
      <c r="L64" s="12" t="str">
        <f t="shared" si="1"/>
        <v>PART_TEF_</v>
      </c>
      <c r="M64" s="12" t="str">
        <f t="shared" si="2"/>
        <v>NO</v>
      </c>
      <c r="N64" s="14" t="str">
        <f t="shared" si="3"/>
        <v/>
      </c>
      <c r="O64" s="14" t="str">
        <f>IF(COUNTBLANK(G64)=1,"",IF(G64&lt;VLOOKUP(L64,FeeLookup!$J$29:$L$30,2,FALSE),"YES","NO"))</f>
        <v/>
      </c>
      <c r="P64" s="14" t="str">
        <f>IF(COUNTBLANK(G64)=1,"",IF(G64&gt;VLOOKUP(L64,FeeLookup!$J$29:$L$30,3,FALSE),"YES","NO"))</f>
        <v/>
      </c>
      <c r="Q64" s="14" t="str">
        <f t="shared" si="4"/>
        <v/>
      </c>
    </row>
    <row r="65" spans="1:17" s="344" customFormat="1" x14ac:dyDescent="0.25">
      <c r="A65" s="71">
        <v>48</v>
      </c>
      <c r="B65" s="18"/>
      <c r="C65" s="18"/>
      <c r="D65" s="18"/>
      <c r="E65" s="18"/>
      <c r="F65" s="497"/>
      <c r="G65" s="497"/>
      <c r="H65" s="413">
        <v>2</v>
      </c>
      <c r="I65" s="414">
        <v>48</v>
      </c>
      <c r="J65" s="74"/>
      <c r="K65" s="12" t="str">
        <f t="shared" si="0"/>
        <v>TEF</v>
      </c>
      <c r="L65" s="12" t="str">
        <f t="shared" si="1"/>
        <v>PART_TEF_</v>
      </c>
      <c r="M65" s="12" t="str">
        <f t="shared" si="2"/>
        <v>NO</v>
      </c>
      <c r="N65" s="14" t="str">
        <f t="shared" si="3"/>
        <v/>
      </c>
      <c r="O65" s="14" t="str">
        <f>IF(COUNTBLANK(G65)=1,"",IF(G65&lt;VLOOKUP(L65,FeeLookup!$J$29:$L$30,2,FALSE),"YES","NO"))</f>
        <v/>
      </c>
      <c r="P65" s="14" t="str">
        <f>IF(COUNTBLANK(G65)=1,"",IF(G65&gt;VLOOKUP(L65,FeeLookup!$J$29:$L$30,3,FALSE),"YES","NO"))</f>
        <v/>
      </c>
      <c r="Q65" s="14" t="str">
        <f t="shared" si="4"/>
        <v/>
      </c>
    </row>
    <row r="66" spans="1:17" s="344" customFormat="1" x14ac:dyDescent="0.25">
      <c r="A66" s="71">
        <v>49</v>
      </c>
      <c r="B66" s="18"/>
      <c r="C66" s="18"/>
      <c r="D66" s="18"/>
      <c r="E66" s="18"/>
      <c r="F66" s="497"/>
      <c r="G66" s="497"/>
      <c r="H66" s="413">
        <v>2</v>
      </c>
      <c r="I66" s="414">
        <v>49</v>
      </c>
      <c r="J66" s="74"/>
      <c r="K66" s="12" t="str">
        <f t="shared" si="0"/>
        <v>TEF</v>
      </c>
      <c r="L66" s="12" t="str">
        <f t="shared" si="1"/>
        <v>PART_TEF_</v>
      </c>
      <c r="M66" s="12" t="str">
        <f t="shared" si="2"/>
        <v>NO</v>
      </c>
      <c r="N66" s="14" t="str">
        <f t="shared" si="3"/>
        <v/>
      </c>
      <c r="O66" s="14" t="str">
        <f>IF(COUNTBLANK(G66)=1,"",IF(G66&lt;VLOOKUP(L66,FeeLookup!$J$29:$L$30,2,FALSE),"YES","NO"))</f>
        <v/>
      </c>
      <c r="P66" s="14" t="str">
        <f>IF(COUNTBLANK(G66)=1,"",IF(G66&gt;VLOOKUP(L66,FeeLookup!$J$29:$L$30,3,FALSE),"YES","NO"))</f>
        <v/>
      </c>
      <c r="Q66" s="14" t="str">
        <f t="shared" si="4"/>
        <v/>
      </c>
    </row>
    <row r="67" spans="1:17" s="344" customFormat="1" x14ac:dyDescent="0.25">
      <c r="A67" s="71">
        <v>50</v>
      </c>
      <c r="B67" s="18"/>
      <c r="C67" s="18"/>
      <c r="D67" s="18"/>
      <c r="E67" s="18"/>
      <c r="F67" s="497"/>
      <c r="G67" s="497"/>
      <c r="H67" s="413">
        <v>2</v>
      </c>
      <c r="I67" s="414">
        <v>50</v>
      </c>
      <c r="J67" s="74"/>
      <c r="K67" s="12" t="str">
        <f t="shared" si="0"/>
        <v>TEF</v>
      </c>
      <c r="L67" s="12" t="str">
        <f t="shared" si="1"/>
        <v>PART_TEF_</v>
      </c>
      <c r="M67" s="12" t="str">
        <f t="shared" si="2"/>
        <v>NO</v>
      </c>
      <c r="N67" s="14" t="str">
        <f t="shared" si="3"/>
        <v/>
      </c>
      <c r="O67" s="14" t="str">
        <f>IF(COUNTBLANK(G67)=1,"",IF(G67&lt;VLOOKUP(L67,FeeLookup!$J$29:$L$30,2,FALSE),"YES","NO"))</f>
        <v/>
      </c>
      <c r="P67" s="14" t="str">
        <f>IF(COUNTBLANK(G67)=1,"",IF(G67&gt;VLOOKUP(L67,FeeLookup!$J$29:$L$30,3,FALSE),"YES","NO"))</f>
        <v/>
      </c>
      <c r="Q67" s="14" t="str">
        <f t="shared" si="4"/>
        <v/>
      </c>
    </row>
    <row r="68" spans="1:17" s="344" customFormat="1" x14ac:dyDescent="0.25">
      <c r="A68" s="71">
        <v>51</v>
      </c>
      <c r="B68" s="18"/>
      <c r="C68" s="18"/>
      <c r="D68" s="18"/>
      <c r="E68" s="18"/>
      <c r="F68" s="497"/>
      <c r="G68" s="497"/>
      <c r="H68" s="413">
        <v>2</v>
      </c>
      <c r="I68" s="414">
        <v>51</v>
      </c>
      <c r="J68" s="74"/>
      <c r="K68" s="12" t="str">
        <f t="shared" si="0"/>
        <v>TEF</v>
      </c>
      <c r="L68" s="12" t="str">
        <f t="shared" si="1"/>
        <v>PART_TEF_</v>
      </c>
      <c r="M68" s="12" t="str">
        <f t="shared" si="2"/>
        <v>NO</v>
      </c>
      <c r="N68" s="14" t="str">
        <f t="shared" si="3"/>
        <v/>
      </c>
      <c r="O68" s="14" t="str">
        <f>IF(COUNTBLANK(G68)=1,"",IF(G68&lt;VLOOKUP(L68,FeeLookup!$J$29:$L$30,2,FALSE),"YES","NO"))</f>
        <v/>
      </c>
      <c r="P68" s="14" t="str">
        <f>IF(COUNTBLANK(G68)=1,"",IF(G68&gt;VLOOKUP(L68,FeeLookup!$J$29:$L$30,3,FALSE),"YES","NO"))</f>
        <v/>
      </c>
      <c r="Q68" s="14" t="str">
        <f t="shared" si="4"/>
        <v/>
      </c>
    </row>
    <row r="69" spans="1:17" s="344" customFormat="1" x14ac:dyDescent="0.25">
      <c r="A69" s="71">
        <v>52</v>
      </c>
      <c r="B69" s="18"/>
      <c r="C69" s="18"/>
      <c r="D69" s="18"/>
      <c r="E69" s="18"/>
      <c r="F69" s="497"/>
      <c r="G69" s="497"/>
      <c r="H69" s="413">
        <v>2</v>
      </c>
      <c r="I69" s="414">
        <v>52</v>
      </c>
      <c r="J69" s="74"/>
      <c r="K69" s="12" t="str">
        <f t="shared" si="0"/>
        <v>TEF</v>
      </c>
      <c r="L69" s="12" t="str">
        <f t="shared" si="1"/>
        <v>PART_TEF_</v>
      </c>
      <c r="M69" s="12" t="str">
        <f t="shared" si="2"/>
        <v>NO</v>
      </c>
      <c r="N69" s="14" t="str">
        <f t="shared" si="3"/>
        <v/>
      </c>
      <c r="O69" s="14" t="str">
        <f>IF(COUNTBLANK(G69)=1,"",IF(G69&lt;VLOOKUP(L69,FeeLookup!$J$29:$L$30,2,FALSE),"YES","NO"))</f>
        <v/>
      </c>
      <c r="P69" s="14" t="str">
        <f>IF(COUNTBLANK(G69)=1,"",IF(G69&gt;VLOOKUP(L69,FeeLookup!$J$29:$L$30,3,FALSE),"YES","NO"))</f>
        <v/>
      </c>
      <c r="Q69" s="14" t="str">
        <f t="shared" si="4"/>
        <v/>
      </c>
    </row>
    <row r="70" spans="1:17" s="344" customFormat="1" x14ac:dyDescent="0.25">
      <c r="A70" s="71">
        <v>53</v>
      </c>
      <c r="B70" s="18"/>
      <c r="C70" s="18"/>
      <c r="D70" s="18"/>
      <c r="E70" s="18"/>
      <c r="F70" s="497"/>
      <c r="G70" s="497"/>
      <c r="H70" s="413">
        <v>2</v>
      </c>
      <c r="I70" s="414">
        <v>53</v>
      </c>
      <c r="J70" s="74"/>
      <c r="K70" s="12" t="str">
        <f t="shared" si="0"/>
        <v>TEF</v>
      </c>
      <c r="L70" s="12" t="str">
        <f t="shared" si="1"/>
        <v>PART_TEF_</v>
      </c>
      <c r="M70" s="12" t="str">
        <f t="shared" si="2"/>
        <v>NO</v>
      </c>
      <c r="N70" s="14" t="str">
        <f t="shared" si="3"/>
        <v/>
      </c>
      <c r="O70" s="14" t="str">
        <f>IF(COUNTBLANK(G70)=1,"",IF(G70&lt;VLOOKUP(L70,FeeLookup!$J$29:$L$30,2,FALSE),"YES","NO"))</f>
        <v/>
      </c>
      <c r="P70" s="14" t="str">
        <f>IF(COUNTBLANK(G70)=1,"",IF(G70&gt;VLOOKUP(L70,FeeLookup!$J$29:$L$30,3,FALSE),"YES","NO"))</f>
        <v/>
      </c>
      <c r="Q70" s="14" t="str">
        <f t="shared" si="4"/>
        <v/>
      </c>
    </row>
    <row r="71" spans="1:17" s="344" customFormat="1" x14ac:dyDescent="0.25">
      <c r="A71" s="71">
        <v>54</v>
      </c>
      <c r="B71" s="18"/>
      <c r="C71" s="18"/>
      <c r="D71" s="18"/>
      <c r="E71" s="18"/>
      <c r="F71" s="497"/>
      <c r="G71" s="497"/>
      <c r="H71" s="413">
        <v>2</v>
      </c>
      <c r="I71" s="414">
        <v>54</v>
      </c>
      <c r="J71" s="74"/>
      <c r="K71" s="12" t="str">
        <f t="shared" si="0"/>
        <v>TEF</v>
      </c>
      <c r="L71" s="12" t="str">
        <f t="shared" si="1"/>
        <v>PART_TEF_</v>
      </c>
      <c r="M71" s="12" t="str">
        <f t="shared" si="2"/>
        <v>NO</v>
      </c>
      <c r="N71" s="14" t="str">
        <f t="shared" si="3"/>
        <v/>
      </c>
      <c r="O71" s="14" t="str">
        <f>IF(COUNTBLANK(G71)=1,"",IF(G71&lt;VLOOKUP(L71,FeeLookup!$J$29:$L$30,2,FALSE),"YES","NO"))</f>
        <v/>
      </c>
      <c r="P71" s="14" t="str">
        <f>IF(COUNTBLANK(G71)=1,"",IF(G71&gt;VLOOKUP(L71,FeeLookup!$J$29:$L$30,3,FALSE),"YES","NO"))</f>
        <v/>
      </c>
      <c r="Q71" s="14" t="str">
        <f t="shared" si="4"/>
        <v/>
      </c>
    </row>
    <row r="72" spans="1:17" s="344" customFormat="1" x14ac:dyDescent="0.25">
      <c r="A72" s="71">
        <v>55</v>
      </c>
      <c r="B72" s="18"/>
      <c r="C72" s="18"/>
      <c r="D72" s="18"/>
      <c r="E72" s="18"/>
      <c r="F72" s="497"/>
      <c r="G72" s="497"/>
      <c r="H72" s="413">
        <v>2</v>
      </c>
      <c r="I72" s="414">
        <v>55</v>
      </c>
      <c r="J72" s="74"/>
      <c r="K72" s="12" t="str">
        <f t="shared" si="0"/>
        <v>TEF</v>
      </c>
      <c r="L72" s="12" t="str">
        <f t="shared" si="1"/>
        <v>PART_TEF_</v>
      </c>
      <c r="M72" s="12" t="str">
        <f t="shared" si="2"/>
        <v>NO</v>
      </c>
      <c r="N72" s="14" t="str">
        <f t="shared" si="3"/>
        <v/>
      </c>
      <c r="O72" s="14" t="str">
        <f>IF(COUNTBLANK(G72)=1,"",IF(G72&lt;VLOOKUP(L72,FeeLookup!$J$29:$L$30,2,FALSE),"YES","NO"))</f>
        <v/>
      </c>
      <c r="P72" s="14" t="str">
        <f>IF(COUNTBLANK(G72)=1,"",IF(G72&gt;VLOOKUP(L72,FeeLookup!$J$29:$L$30,3,FALSE),"YES","NO"))</f>
        <v/>
      </c>
      <c r="Q72" s="14" t="str">
        <f t="shared" si="4"/>
        <v/>
      </c>
    </row>
    <row r="73" spans="1:17" s="344" customFormat="1" x14ac:dyDescent="0.25">
      <c r="A73" s="71">
        <v>56</v>
      </c>
      <c r="B73" s="18"/>
      <c r="C73" s="18"/>
      <c r="D73" s="18"/>
      <c r="E73" s="18"/>
      <c r="F73" s="497"/>
      <c r="G73" s="497"/>
      <c r="H73" s="413">
        <v>2</v>
      </c>
      <c r="I73" s="414">
        <v>56</v>
      </c>
      <c r="J73" s="74"/>
      <c r="K73" s="12" t="str">
        <f t="shared" si="0"/>
        <v>TEF</v>
      </c>
      <c r="L73" s="12" t="str">
        <f t="shared" si="1"/>
        <v>PART_TEF_</v>
      </c>
      <c r="M73" s="12" t="str">
        <f t="shared" si="2"/>
        <v>NO</v>
      </c>
      <c r="N73" s="14" t="str">
        <f t="shared" si="3"/>
        <v/>
      </c>
      <c r="O73" s="14" t="str">
        <f>IF(COUNTBLANK(G73)=1,"",IF(G73&lt;VLOOKUP(L73,FeeLookup!$J$29:$L$30,2,FALSE),"YES","NO"))</f>
        <v/>
      </c>
      <c r="P73" s="14" t="str">
        <f>IF(COUNTBLANK(G73)=1,"",IF(G73&gt;VLOOKUP(L73,FeeLookup!$J$29:$L$30,3,FALSE),"YES","NO"))</f>
        <v/>
      </c>
      <c r="Q73" s="14" t="str">
        <f t="shared" si="4"/>
        <v/>
      </c>
    </row>
    <row r="74" spans="1:17" s="344" customFormat="1" x14ac:dyDescent="0.25">
      <c r="A74" s="71">
        <v>57</v>
      </c>
      <c r="B74" s="18"/>
      <c r="C74" s="18"/>
      <c r="D74" s="18"/>
      <c r="E74" s="18"/>
      <c r="F74" s="497"/>
      <c r="G74" s="497"/>
      <c r="H74" s="413">
        <v>2</v>
      </c>
      <c r="I74" s="414">
        <v>57</v>
      </c>
      <c r="J74" s="74"/>
      <c r="K74" s="12" t="str">
        <f t="shared" si="0"/>
        <v>TEF</v>
      </c>
      <c r="L74" s="12" t="str">
        <f t="shared" si="1"/>
        <v>PART_TEF_</v>
      </c>
      <c r="M74" s="12" t="str">
        <f t="shared" si="2"/>
        <v>NO</v>
      </c>
      <c r="N74" s="14" t="str">
        <f t="shared" si="3"/>
        <v/>
      </c>
      <c r="O74" s="14" t="str">
        <f>IF(COUNTBLANK(G74)=1,"",IF(G74&lt;VLOOKUP(L74,FeeLookup!$J$29:$L$30,2,FALSE),"YES","NO"))</f>
        <v/>
      </c>
      <c r="P74" s="14" t="str">
        <f>IF(COUNTBLANK(G74)=1,"",IF(G74&gt;VLOOKUP(L74,FeeLookup!$J$29:$L$30,3,FALSE),"YES","NO"))</f>
        <v/>
      </c>
      <c r="Q74" s="14" t="str">
        <f t="shared" si="4"/>
        <v/>
      </c>
    </row>
    <row r="75" spans="1:17" s="344" customFormat="1" x14ac:dyDescent="0.25">
      <c r="A75" s="71">
        <v>58</v>
      </c>
      <c r="B75" s="18"/>
      <c r="C75" s="18"/>
      <c r="D75" s="18"/>
      <c r="E75" s="18"/>
      <c r="F75" s="497"/>
      <c r="G75" s="497"/>
      <c r="H75" s="413">
        <v>2</v>
      </c>
      <c r="I75" s="414">
        <v>58</v>
      </c>
      <c r="J75" s="74"/>
      <c r="K75" s="12" t="str">
        <f t="shared" si="0"/>
        <v>TEF</v>
      </c>
      <c r="L75" s="12" t="str">
        <f t="shared" si="1"/>
        <v>PART_TEF_</v>
      </c>
      <c r="M75" s="12" t="str">
        <f t="shared" si="2"/>
        <v>NO</v>
      </c>
      <c r="N75" s="14" t="str">
        <f t="shared" si="3"/>
        <v/>
      </c>
      <c r="O75" s="14" t="str">
        <f>IF(COUNTBLANK(G75)=1,"",IF(G75&lt;VLOOKUP(L75,FeeLookup!$J$29:$L$30,2,FALSE),"YES","NO"))</f>
        <v/>
      </c>
      <c r="P75" s="14" t="str">
        <f>IF(COUNTBLANK(G75)=1,"",IF(G75&gt;VLOOKUP(L75,FeeLookup!$J$29:$L$30,3,FALSE),"YES","NO"))</f>
        <v/>
      </c>
      <c r="Q75" s="14" t="str">
        <f t="shared" si="4"/>
        <v/>
      </c>
    </row>
    <row r="76" spans="1:17" s="344" customFormat="1" x14ac:dyDescent="0.25">
      <c r="A76" s="71">
        <v>59</v>
      </c>
      <c r="B76" s="18"/>
      <c r="C76" s="18"/>
      <c r="D76" s="18"/>
      <c r="E76" s="18"/>
      <c r="F76" s="497"/>
      <c r="G76" s="497"/>
      <c r="H76" s="413">
        <v>2</v>
      </c>
      <c r="I76" s="414">
        <v>59</v>
      </c>
      <c r="J76" s="74"/>
      <c r="K76" s="12" t="str">
        <f t="shared" si="0"/>
        <v>TEF</v>
      </c>
      <c r="L76" s="12" t="str">
        <f t="shared" si="1"/>
        <v>PART_TEF_</v>
      </c>
      <c r="M76" s="12" t="str">
        <f t="shared" si="2"/>
        <v>NO</v>
      </c>
      <c r="N76" s="14" t="str">
        <f t="shared" si="3"/>
        <v/>
      </c>
      <c r="O76" s="14" t="str">
        <f>IF(COUNTBLANK(G76)=1,"",IF(G76&lt;VLOOKUP(L76,FeeLookup!$J$29:$L$30,2,FALSE),"YES","NO"))</f>
        <v/>
      </c>
      <c r="P76" s="14" t="str">
        <f>IF(COUNTBLANK(G76)=1,"",IF(G76&gt;VLOOKUP(L76,FeeLookup!$J$29:$L$30,3,FALSE),"YES","NO"))</f>
        <v/>
      </c>
      <c r="Q76" s="14" t="str">
        <f t="shared" si="4"/>
        <v/>
      </c>
    </row>
    <row r="77" spans="1:17" s="344" customFormat="1" x14ac:dyDescent="0.25">
      <c r="A77" s="71">
        <v>60</v>
      </c>
      <c r="B77" s="18"/>
      <c r="C77" s="18"/>
      <c r="D77" s="18"/>
      <c r="E77" s="18"/>
      <c r="F77" s="497"/>
      <c r="G77" s="497"/>
      <c r="H77" s="413">
        <v>2</v>
      </c>
      <c r="I77" s="414">
        <v>60</v>
      </c>
      <c r="J77" s="74"/>
      <c r="K77" s="12" t="str">
        <f t="shared" si="0"/>
        <v>TEF</v>
      </c>
      <c r="L77" s="12" t="str">
        <f t="shared" si="1"/>
        <v>PART_TEF_</v>
      </c>
      <c r="M77" s="12" t="str">
        <f t="shared" si="2"/>
        <v>NO</v>
      </c>
      <c r="N77" s="14" t="str">
        <f t="shared" si="3"/>
        <v/>
      </c>
      <c r="O77" s="14" t="str">
        <f>IF(COUNTBLANK(G77)=1,"",IF(G77&lt;VLOOKUP(L77,FeeLookup!$J$29:$L$30,2,FALSE),"YES","NO"))</f>
        <v/>
      </c>
      <c r="P77" s="14" t="str">
        <f>IF(COUNTBLANK(G77)=1,"",IF(G77&gt;VLOOKUP(L77,FeeLookup!$J$29:$L$30,3,FALSE),"YES","NO"))</f>
        <v/>
      </c>
      <c r="Q77" s="14" t="str">
        <f t="shared" si="4"/>
        <v/>
      </c>
    </row>
    <row r="78" spans="1:17" s="344" customFormat="1" x14ac:dyDescent="0.25">
      <c r="A78" s="71">
        <v>61</v>
      </c>
      <c r="B78" s="18"/>
      <c r="C78" s="18"/>
      <c r="D78" s="18"/>
      <c r="E78" s="18"/>
      <c r="F78" s="497"/>
      <c r="G78" s="497"/>
      <c r="H78" s="413">
        <v>2</v>
      </c>
      <c r="I78" s="414">
        <v>61</v>
      </c>
      <c r="J78" s="74"/>
      <c r="K78" s="12" t="str">
        <f t="shared" si="0"/>
        <v>TEF</v>
      </c>
      <c r="L78" s="12" t="str">
        <f t="shared" si="1"/>
        <v>PART_TEF_</v>
      </c>
      <c r="M78" s="12" t="str">
        <f t="shared" si="2"/>
        <v>NO</v>
      </c>
      <c r="N78" s="14" t="str">
        <f t="shared" si="3"/>
        <v/>
      </c>
      <c r="O78" s="14" t="str">
        <f>IF(COUNTBLANK(G78)=1,"",IF(G78&lt;VLOOKUP(L78,FeeLookup!$J$29:$L$30,2,FALSE),"YES","NO"))</f>
        <v/>
      </c>
      <c r="P78" s="14" t="str">
        <f>IF(COUNTBLANK(G78)=1,"",IF(G78&gt;VLOOKUP(L78,FeeLookup!$J$29:$L$30,3,FALSE),"YES","NO"))</f>
        <v/>
      </c>
      <c r="Q78" s="14" t="str">
        <f t="shared" si="4"/>
        <v/>
      </c>
    </row>
    <row r="79" spans="1:17" s="344" customFormat="1" x14ac:dyDescent="0.25">
      <c r="A79" s="71">
        <v>62</v>
      </c>
      <c r="B79" s="18"/>
      <c r="C79" s="18"/>
      <c r="D79" s="18"/>
      <c r="E79" s="18"/>
      <c r="F79" s="497"/>
      <c r="G79" s="497"/>
      <c r="H79" s="413">
        <v>2</v>
      </c>
      <c r="I79" s="414">
        <v>62</v>
      </c>
      <c r="J79" s="74"/>
      <c r="K79" s="12" t="str">
        <f t="shared" si="0"/>
        <v>TEF</v>
      </c>
      <c r="L79" s="12" t="str">
        <f t="shared" si="1"/>
        <v>PART_TEF_</v>
      </c>
      <c r="M79" s="12" t="str">
        <f t="shared" si="2"/>
        <v>NO</v>
      </c>
      <c r="N79" s="14" t="str">
        <f t="shared" si="3"/>
        <v/>
      </c>
      <c r="O79" s="14" t="str">
        <f>IF(COUNTBLANK(G79)=1,"",IF(G79&lt;VLOOKUP(L79,FeeLookup!$J$29:$L$30,2,FALSE),"YES","NO"))</f>
        <v/>
      </c>
      <c r="P79" s="14" t="str">
        <f>IF(COUNTBLANK(G79)=1,"",IF(G79&gt;VLOOKUP(L79,FeeLookup!$J$29:$L$30,3,FALSE),"YES","NO"))</f>
        <v/>
      </c>
      <c r="Q79" s="14" t="str">
        <f t="shared" si="4"/>
        <v/>
      </c>
    </row>
    <row r="80" spans="1:17" s="344" customFormat="1" x14ac:dyDescent="0.25">
      <c r="A80" s="71">
        <v>63</v>
      </c>
      <c r="B80" s="18"/>
      <c r="C80" s="18"/>
      <c r="D80" s="18"/>
      <c r="E80" s="18"/>
      <c r="F80" s="497"/>
      <c r="G80" s="497"/>
      <c r="H80" s="413">
        <v>2</v>
      </c>
      <c r="I80" s="414">
        <v>63</v>
      </c>
      <c r="J80" s="74"/>
      <c r="K80" s="12" t="str">
        <f t="shared" si="0"/>
        <v>TEF</v>
      </c>
      <c r="L80" s="12" t="str">
        <f t="shared" si="1"/>
        <v>PART_TEF_</v>
      </c>
      <c r="M80" s="12" t="str">
        <f t="shared" si="2"/>
        <v>NO</v>
      </c>
      <c r="N80" s="14" t="str">
        <f t="shared" si="3"/>
        <v/>
      </c>
      <c r="O80" s="14" t="str">
        <f>IF(COUNTBLANK(G80)=1,"",IF(G80&lt;VLOOKUP(L80,FeeLookup!$J$29:$L$30,2,FALSE),"YES","NO"))</f>
        <v/>
      </c>
      <c r="P80" s="14" t="str">
        <f>IF(COUNTBLANK(G80)=1,"",IF(G80&gt;VLOOKUP(L80,FeeLookup!$J$29:$L$30,3,FALSE),"YES","NO"))</f>
        <v/>
      </c>
      <c r="Q80" s="14" t="str">
        <f t="shared" si="4"/>
        <v/>
      </c>
    </row>
    <row r="81" spans="1:17" s="344" customFormat="1" x14ac:dyDescent="0.25">
      <c r="A81" s="71">
        <v>64</v>
      </c>
      <c r="B81" s="18"/>
      <c r="C81" s="18"/>
      <c r="D81" s="18"/>
      <c r="E81" s="18"/>
      <c r="F81" s="497"/>
      <c r="G81" s="497"/>
      <c r="H81" s="413">
        <v>2</v>
      </c>
      <c r="I81" s="414">
        <v>64</v>
      </c>
      <c r="J81" s="74"/>
      <c r="K81" s="12" t="str">
        <f t="shared" si="0"/>
        <v>TEF</v>
      </c>
      <c r="L81" s="12" t="str">
        <f t="shared" si="1"/>
        <v>PART_TEF_</v>
      </c>
      <c r="M81" s="12" t="str">
        <f t="shared" si="2"/>
        <v>NO</v>
      </c>
      <c r="N81" s="14" t="str">
        <f t="shared" si="3"/>
        <v/>
      </c>
      <c r="O81" s="14" t="str">
        <f>IF(COUNTBLANK(G81)=1,"",IF(G81&lt;VLOOKUP(L81,FeeLookup!$J$29:$L$30,2,FALSE),"YES","NO"))</f>
        <v/>
      </c>
      <c r="P81" s="14" t="str">
        <f>IF(COUNTBLANK(G81)=1,"",IF(G81&gt;VLOOKUP(L81,FeeLookup!$J$29:$L$30,3,FALSE),"YES","NO"))</f>
        <v/>
      </c>
      <c r="Q81" s="14" t="str">
        <f t="shared" si="4"/>
        <v/>
      </c>
    </row>
    <row r="82" spans="1:17" s="344" customFormat="1" x14ac:dyDescent="0.25">
      <c r="A82" s="71">
        <v>65</v>
      </c>
      <c r="B82" s="18"/>
      <c r="C82" s="18"/>
      <c r="D82" s="18"/>
      <c r="E82" s="18"/>
      <c r="F82" s="497"/>
      <c r="G82" s="497"/>
      <c r="H82" s="413">
        <v>2</v>
      </c>
      <c r="I82" s="414">
        <v>65</v>
      </c>
      <c r="J82" s="74"/>
      <c r="K82" s="12" t="str">
        <f t="shared" si="0"/>
        <v>TEF</v>
      </c>
      <c r="L82" s="12" t="str">
        <f t="shared" si="1"/>
        <v>PART_TEF_</v>
      </c>
      <c r="M82" s="12" t="str">
        <f t="shared" si="2"/>
        <v>NO</v>
      </c>
      <c r="N82" s="14" t="str">
        <f t="shared" si="3"/>
        <v/>
      </c>
      <c r="O82" s="14" t="str">
        <f>IF(COUNTBLANK(G82)=1,"",IF(G82&lt;VLOOKUP(L82,FeeLookup!$J$29:$L$30,2,FALSE),"YES","NO"))</f>
        <v/>
      </c>
      <c r="P82" s="14" t="str">
        <f>IF(COUNTBLANK(G82)=1,"",IF(G82&gt;VLOOKUP(L82,FeeLookup!$J$29:$L$30,3,FALSE),"YES","NO"))</f>
        <v/>
      </c>
      <c r="Q82" s="14" t="str">
        <f t="shared" si="4"/>
        <v/>
      </c>
    </row>
    <row r="83" spans="1:17" s="344" customFormat="1" x14ac:dyDescent="0.25">
      <c r="A83" s="71">
        <v>66</v>
      </c>
      <c r="B83" s="18"/>
      <c r="C83" s="18"/>
      <c r="D83" s="18"/>
      <c r="E83" s="18"/>
      <c r="F83" s="497"/>
      <c r="G83" s="497"/>
      <c r="H83" s="413">
        <v>2</v>
      </c>
      <c r="I83" s="414">
        <v>66</v>
      </c>
      <c r="J83" s="74"/>
      <c r="K83" s="12" t="str">
        <f t="shared" ref="K83:K146" si="5">IF($A$4="Expected TEF year 3 status: We hold or have applied for a TEF award for 2019-20.","TEF","No TEF")</f>
        <v>TEF</v>
      </c>
      <c r="L83" s="12" t="str">
        <f t="shared" ref="L83:L146" si="6">IF(K83="","",CONCATENATE("PART_",IF(K83="No TEF","NO_TEF_","TEF_")))</f>
        <v>PART_TEF_</v>
      </c>
      <c r="M83" s="12" t="str">
        <f t="shared" ref="M83:M146" si="7">IF(COUNTBLANK($B83:$G83)=6,"NO","YES")</f>
        <v>NO</v>
      </c>
      <c r="N83" s="14" t="str">
        <f t="shared" ref="N83:N146" si="8">IF($M83="NO","",IF(AND((COUNTBLANK($B83)+COUNTBLANK($F83:$G83))=0,COUNTBLANK(E83)=0),"YES","NO"))</f>
        <v/>
      </c>
      <c r="O83" s="14" t="str">
        <f>IF(COUNTBLANK(G83)=1,"",IF(G83&lt;VLOOKUP(L83,FeeLookup!$J$29:$L$30,2,FALSE),"YES","NO"))</f>
        <v/>
      </c>
      <c r="P83" s="14" t="str">
        <f>IF(COUNTBLANK(G83)=1,"",IF(G83&gt;VLOOKUP(L83,FeeLookup!$J$29:$L$30,3,FALSE),"YES","NO"))</f>
        <v/>
      </c>
      <c r="Q83" s="14" t="str">
        <f t="shared" ref="Q83:Q146" si="9">IF(OR(N83="NO",P83="YES"),"FLAG","")</f>
        <v/>
      </c>
    </row>
    <row r="84" spans="1:17" s="344" customFormat="1" x14ac:dyDescent="0.25">
      <c r="A84" s="71">
        <v>67</v>
      </c>
      <c r="B84" s="18"/>
      <c r="C84" s="18"/>
      <c r="D84" s="18"/>
      <c r="E84" s="18"/>
      <c r="F84" s="497"/>
      <c r="G84" s="497"/>
      <c r="H84" s="413">
        <v>2</v>
      </c>
      <c r="I84" s="414">
        <v>67</v>
      </c>
      <c r="J84" s="74"/>
      <c r="K84" s="12" t="str">
        <f t="shared" si="5"/>
        <v>TEF</v>
      </c>
      <c r="L84" s="12" t="str">
        <f t="shared" si="6"/>
        <v>PART_TEF_</v>
      </c>
      <c r="M84" s="12" t="str">
        <f t="shared" si="7"/>
        <v>NO</v>
      </c>
      <c r="N84" s="14" t="str">
        <f t="shared" si="8"/>
        <v/>
      </c>
      <c r="O84" s="14" t="str">
        <f>IF(COUNTBLANK(G84)=1,"",IF(G84&lt;VLOOKUP(L84,FeeLookup!$J$29:$L$30,2,FALSE),"YES","NO"))</f>
        <v/>
      </c>
      <c r="P84" s="14" t="str">
        <f>IF(COUNTBLANK(G84)=1,"",IF(G84&gt;VLOOKUP(L84,FeeLookup!$J$29:$L$30,3,FALSE),"YES","NO"))</f>
        <v/>
      </c>
      <c r="Q84" s="14" t="str">
        <f t="shared" si="9"/>
        <v/>
      </c>
    </row>
    <row r="85" spans="1:17" s="344" customFormat="1" x14ac:dyDescent="0.25">
      <c r="A85" s="71">
        <v>68</v>
      </c>
      <c r="B85" s="18"/>
      <c r="C85" s="18"/>
      <c r="D85" s="18"/>
      <c r="E85" s="18"/>
      <c r="F85" s="497"/>
      <c r="G85" s="497"/>
      <c r="H85" s="413">
        <v>2</v>
      </c>
      <c r="I85" s="414">
        <v>68</v>
      </c>
      <c r="J85" s="74"/>
      <c r="K85" s="12" t="str">
        <f t="shared" si="5"/>
        <v>TEF</v>
      </c>
      <c r="L85" s="12" t="str">
        <f t="shared" si="6"/>
        <v>PART_TEF_</v>
      </c>
      <c r="M85" s="12" t="str">
        <f t="shared" si="7"/>
        <v>NO</v>
      </c>
      <c r="N85" s="14" t="str">
        <f t="shared" si="8"/>
        <v/>
      </c>
      <c r="O85" s="14" t="str">
        <f>IF(COUNTBLANK(G85)=1,"",IF(G85&lt;VLOOKUP(L85,FeeLookup!$J$29:$L$30,2,FALSE),"YES","NO"))</f>
        <v/>
      </c>
      <c r="P85" s="14" t="str">
        <f>IF(COUNTBLANK(G85)=1,"",IF(G85&gt;VLOOKUP(L85,FeeLookup!$J$29:$L$30,3,FALSE),"YES","NO"))</f>
        <v/>
      </c>
      <c r="Q85" s="14" t="str">
        <f t="shared" si="9"/>
        <v/>
      </c>
    </row>
    <row r="86" spans="1:17" s="344" customFormat="1" x14ac:dyDescent="0.25">
      <c r="A86" s="71">
        <v>69</v>
      </c>
      <c r="B86" s="18"/>
      <c r="C86" s="18"/>
      <c r="D86" s="18"/>
      <c r="E86" s="18"/>
      <c r="F86" s="497"/>
      <c r="G86" s="497"/>
      <c r="H86" s="413">
        <v>2</v>
      </c>
      <c r="I86" s="414">
        <v>69</v>
      </c>
      <c r="J86" s="74"/>
      <c r="K86" s="12" t="str">
        <f t="shared" si="5"/>
        <v>TEF</v>
      </c>
      <c r="L86" s="12" t="str">
        <f t="shared" si="6"/>
        <v>PART_TEF_</v>
      </c>
      <c r="M86" s="12" t="str">
        <f t="shared" si="7"/>
        <v>NO</v>
      </c>
      <c r="N86" s="14" t="str">
        <f t="shared" si="8"/>
        <v/>
      </c>
      <c r="O86" s="14" t="str">
        <f>IF(COUNTBLANK(G86)=1,"",IF(G86&lt;VLOOKUP(L86,FeeLookup!$J$29:$L$30,2,FALSE),"YES","NO"))</f>
        <v/>
      </c>
      <c r="P86" s="14" t="str">
        <f>IF(COUNTBLANK(G86)=1,"",IF(G86&gt;VLOOKUP(L86,FeeLookup!$J$29:$L$30,3,FALSE),"YES","NO"))</f>
        <v/>
      </c>
      <c r="Q86" s="14" t="str">
        <f t="shared" si="9"/>
        <v/>
      </c>
    </row>
    <row r="87" spans="1:17" s="344" customFormat="1" x14ac:dyDescent="0.25">
      <c r="A87" s="71">
        <v>70</v>
      </c>
      <c r="B87" s="18"/>
      <c r="C87" s="18"/>
      <c r="D87" s="18"/>
      <c r="E87" s="18"/>
      <c r="F87" s="497"/>
      <c r="G87" s="497"/>
      <c r="H87" s="413">
        <v>2</v>
      </c>
      <c r="I87" s="414">
        <v>70</v>
      </c>
      <c r="J87" s="74"/>
      <c r="K87" s="12" t="str">
        <f t="shared" si="5"/>
        <v>TEF</v>
      </c>
      <c r="L87" s="12" t="str">
        <f t="shared" si="6"/>
        <v>PART_TEF_</v>
      </c>
      <c r="M87" s="12" t="str">
        <f t="shared" si="7"/>
        <v>NO</v>
      </c>
      <c r="N87" s="14" t="str">
        <f t="shared" si="8"/>
        <v/>
      </c>
      <c r="O87" s="14" t="str">
        <f>IF(COUNTBLANK(G87)=1,"",IF(G87&lt;VLOOKUP(L87,FeeLookup!$J$29:$L$30,2,FALSE),"YES","NO"))</f>
        <v/>
      </c>
      <c r="P87" s="14" t="str">
        <f>IF(COUNTBLANK(G87)=1,"",IF(G87&gt;VLOOKUP(L87,FeeLookup!$J$29:$L$30,3,FALSE),"YES","NO"))</f>
        <v/>
      </c>
      <c r="Q87" s="14" t="str">
        <f t="shared" si="9"/>
        <v/>
      </c>
    </row>
    <row r="88" spans="1:17" s="344" customFormat="1" x14ac:dyDescent="0.25">
      <c r="A88" s="71">
        <v>71</v>
      </c>
      <c r="B88" s="18"/>
      <c r="C88" s="18"/>
      <c r="D88" s="18"/>
      <c r="E88" s="18"/>
      <c r="F88" s="497"/>
      <c r="G88" s="497"/>
      <c r="H88" s="413">
        <v>2</v>
      </c>
      <c r="I88" s="414">
        <v>71</v>
      </c>
      <c r="J88" s="74"/>
      <c r="K88" s="12" t="str">
        <f t="shared" si="5"/>
        <v>TEF</v>
      </c>
      <c r="L88" s="12" t="str">
        <f t="shared" si="6"/>
        <v>PART_TEF_</v>
      </c>
      <c r="M88" s="12" t="str">
        <f t="shared" si="7"/>
        <v>NO</v>
      </c>
      <c r="N88" s="14" t="str">
        <f t="shared" si="8"/>
        <v/>
      </c>
      <c r="O88" s="14" t="str">
        <f>IF(COUNTBLANK(G88)=1,"",IF(G88&lt;VLOOKUP(L88,FeeLookup!$J$29:$L$30,2,FALSE),"YES","NO"))</f>
        <v/>
      </c>
      <c r="P88" s="14" t="str">
        <f>IF(COUNTBLANK(G88)=1,"",IF(G88&gt;VLOOKUP(L88,FeeLookup!$J$29:$L$30,3,FALSE),"YES","NO"))</f>
        <v/>
      </c>
      <c r="Q88" s="14" t="str">
        <f t="shared" si="9"/>
        <v/>
      </c>
    </row>
    <row r="89" spans="1:17" s="344" customFormat="1" x14ac:dyDescent="0.25">
      <c r="A89" s="71">
        <v>72</v>
      </c>
      <c r="B89" s="18"/>
      <c r="C89" s="18"/>
      <c r="D89" s="18"/>
      <c r="E89" s="18"/>
      <c r="F89" s="497"/>
      <c r="G89" s="497"/>
      <c r="H89" s="413">
        <v>2</v>
      </c>
      <c r="I89" s="414">
        <v>72</v>
      </c>
      <c r="J89" s="74"/>
      <c r="K89" s="12" t="str">
        <f t="shared" si="5"/>
        <v>TEF</v>
      </c>
      <c r="L89" s="12" t="str">
        <f t="shared" si="6"/>
        <v>PART_TEF_</v>
      </c>
      <c r="M89" s="12" t="str">
        <f t="shared" si="7"/>
        <v>NO</v>
      </c>
      <c r="N89" s="14" t="str">
        <f t="shared" si="8"/>
        <v/>
      </c>
      <c r="O89" s="14" t="str">
        <f>IF(COUNTBLANK(G89)=1,"",IF(G89&lt;VLOOKUP(L89,FeeLookup!$J$29:$L$30,2,FALSE),"YES","NO"))</f>
        <v/>
      </c>
      <c r="P89" s="14" t="str">
        <f>IF(COUNTBLANK(G89)=1,"",IF(G89&gt;VLOOKUP(L89,FeeLookup!$J$29:$L$30,3,FALSE),"YES","NO"))</f>
        <v/>
      </c>
      <c r="Q89" s="14" t="str">
        <f t="shared" si="9"/>
        <v/>
      </c>
    </row>
    <row r="90" spans="1:17" s="344" customFormat="1" x14ac:dyDescent="0.25">
      <c r="A90" s="71">
        <v>73</v>
      </c>
      <c r="B90" s="18"/>
      <c r="C90" s="18"/>
      <c r="D90" s="18"/>
      <c r="E90" s="18"/>
      <c r="F90" s="497"/>
      <c r="G90" s="497"/>
      <c r="H90" s="413">
        <v>2</v>
      </c>
      <c r="I90" s="414">
        <v>73</v>
      </c>
      <c r="J90" s="74"/>
      <c r="K90" s="12" t="str">
        <f t="shared" si="5"/>
        <v>TEF</v>
      </c>
      <c r="L90" s="12" t="str">
        <f t="shared" si="6"/>
        <v>PART_TEF_</v>
      </c>
      <c r="M90" s="12" t="str">
        <f t="shared" si="7"/>
        <v>NO</v>
      </c>
      <c r="N90" s="14" t="str">
        <f t="shared" si="8"/>
        <v/>
      </c>
      <c r="O90" s="14" t="str">
        <f>IF(COUNTBLANK(G90)=1,"",IF(G90&lt;VLOOKUP(L90,FeeLookup!$J$29:$L$30,2,FALSE),"YES","NO"))</f>
        <v/>
      </c>
      <c r="P90" s="14" t="str">
        <f>IF(COUNTBLANK(G90)=1,"",IF(G90&gt;VLOOKUP(L90,FeeLookup!$J$29:$L$30,3,FALSE),"YES","NO"))</f>
        <v/>
      </c>
      <c r="Q90" s="14" t="str">
        <f t="shared" si="9"/>
        <v/>
      </c>
    </row>
    <row r="91" spans="1:17" s="344" customFormat="1" x14ac:dyDescent="0.25">
      <c r="A91" s="71">
        <v>74</v>
      </c>
      <c r="B91" s="18"/>
      <c r="C91" s="18"/>
      <c r="D91" s="18"/>
      <c r="E91" s="18"/>
      <c r="F91" s="497"/>
      <c r="G91" s="497"/>
      <c r="H91" s="413">
        <v>2</v>
      </c>
      <c r="I91" s="414">
        <v>74</v>
      </c>
      <c r="J91" s="74"/>
      <c r="K91" s="12" t="str">
        <f t="shared" si="5"/>
        <v>TEF</v>
      </c>
      <c r="L91" s="12" t="str">
        <f t="shared" si="6"/>
        <v>PART_TEF_</v>
      </c>
      <c r="M91" s="12" t="str">
        <f t="shared" si="7"/>
        <v>NO</v>
      </c>
      <c r="N91" s="14" t="str">
        <f t="shared" si="8"/>
        <v/>
      </c>
      <c r="O91" s="14" t="str">
        <f>IF(COUNTBLANK(G91)=1,"",IF(G91&lt;VLOOKUP(L91,FeeLookup!$J$29:$L$30,2,FALSE),"YES","NO"))</f>
        <v/>
      </c>
      <c r="P91" s="14" t="str">
        <f>IF(COUNTBLANK(G91)=1,"",IF(G91&gt;VLOOKUP(L91,FeeLookup!$J$29:$L$30,3,FALSE),"YES","NO"))</f>
        <v/>
      </c>
      <c r="Q91" s="14" t="str">
        <f t="shared" si="9"/>
        <v/>
      </c>
    </row>
    <row r="92" spans="1:17" s="344" customFormat="1" x14ac:dyDescent="0.25">
      <c r="A92" s="71">
        <v>75</v>
      </c>
      <c r="B92" s="18"/>
      <c r="C92" s="18"/>
      <c r="D92" s="18"/>
      <c r="E92" s="18"/>
      <c r="F92" s="497"/>
      <c r="G92" s="497"/>
      <c r="H92" s="413">
        <v>2</v>
      </c>
      <c r="I92" s="414">
        <v>75</v>
      </c>
      <c r="J92" s="74"/>
      <c r="K92" s="12" t="str">
        <f t="shared" si="5"/>
        <v>TEF</v>
      </c>
      <c r="L92" s="12" t="str">
        <f t="shared" si="6"/>
        <v>PART_TEF_</v>
      </c>
      <c r="M92" s="12" t="str">
        <f t="shared" si="7"/>
        <v>NO</v>
      </c>
      <c r="N92" s="14" t="str">
        <f t="shared" si="8"/>
        <v/>
      </c>
      <c r="O92" s="14" t="str">
        <f>IF(COUNTBLANK(G92)=1,"",IF(G92&lt;VLOOKUP(L92,FeeLookup!$J$29:$L$30,2,FALSE),"YES","NO"))</f>
        <v/>
      </c>
      <c r="P92" s="14" t="str">
        <f>IF(COUNTBLANK(G92)=1,"",IF(G92&gt;VLOOKUP(L92,FeeLookup!$J$29:$L$30,3,FALSE),"YES","NO"))</f>
        <v/>
      </c>
      <c r="Q92" s="14" t="str">
        <f t="shared" si="9"/>
        <v/>
      </c>
    </row>
    <row r="93" spans="1:17" s="344" customFormat="1" x14ac:dyDescent="0.25">
      <c r="A93" s="71">
        <v>76</v>
      </c>
      <c r="B93" s="18"/>
      <c r="C93" s="18"/>
      <c r="D93" s="18"/>
      <c r="E93" s="18"/>
      <c r="F93" s="497"/>
      <c r="G93" s="497"/>
      <c r="H93" s="413">
        <v>2</v>
      </c>
      <c r="I93" s="414">
        <v>76</v>
      </c>
      <c r="J93" s="74"/>
      <c r="K93" s="12" t="str">
        <f t="shared" si="5"/>
        <v>TEF</v>
      </c>
      <c r="L93" s="12" t="str">
        <f t="shared" si="6"/>
        <v>PART_TEF_</v>
      </c>
      <c r="M93" s="12" t="str">
        <f t="shared" si="7"/>
        <v>NO</v>
      </c>
      <c r="N93" s="14" t="str">
        <f t="shared" si="8"/>
        <v/>
      </c>
      <c r="O93" s="14" t="str">
        <f>IF(COUNTBLANK(G93)=1,"",IF(G93&lt;VLOOKUP(L93,FeeLookup!$J$29:$L$30,2,FALSE),"YES","NO"))</f>
        <v/>
      </c>
      <c r="P93" s="14" t="str">
        <f>IF(COUNTBLANK(G93)=1,"",IF(G93&gt;VLOOKUP(L93,FeeLookup!$J$29:$L$30,3,FALSE),"YES","NO"))</f>
        <v/>
      </c>
      <c r="Q93" s="14" t="str">
        <f t="shared" si="9"/>
        <v/>
      </c>
    </row>
    <row r="94" spans="1:17" s="344" customFormat="1" x14ac:dyDescent="0.25">
      <c r="A94" s="71">
        <v>77</v>
      </c>
      <c r="B94" s="18"/>
      <c r="C94" s="18"/>
      <c r="D94" s="18"/>
      <c r="E94" s="18"/>
      <c r="F94" s="497"/>
      <c r="G94" s="497"/>
      <c r="H94" s="413">
        <v>2</v>
      </c>
      <c r="I94" s="414">
        <v>77</v>
      </c>
      <c r="J94" s="74"/>
      <c r="K94" s="12" t="str">
        <f t="shared" si="5"/>
        <v>TEF</v>
      </c>
      <c r="L94" s="12" t="str">
        <f t="shared" si="6"/>
        <v>PART_TEF_</v>
      </c>
      <c r="M94" s="12" t="str">
        <f t="shared" si="7"/>
        <v>NO</v>
      </c>
      <c r="N94" s="14" t="str">
        <f t="shared" si="8"/>
        <v/>
      </c>
      <c r="O94" s="14" t="str">
        <f>IF(COUNTBLANK(G94)=1,"",IF(G94&lt;VLOOKUP(L94,FeeLookup!$J$29:$L$30,2,FALSE),"YES","NO"))</f>
        <v/>
      </c>
      <c r="P94" s="14" t="str">
        <f>IF(COUNTBLANK(G94)=1,"",IF(G94&gt;VLOOKUP(L94,FeeLookup!$J$29:$L$30,3,FALSE),"YES","NO"))</f>
        <v/>
      </c>
      <c r="Q94" s="14" t="str">
        <f t="shared" si="9"/>
        <v/>
      </c>
    </row>
    <row r="95" spans="1:17" s="344" customFormat="1" x14ac:dyDescent="0.25">
      <c r="A95" s="71">
        <v>78</v>
      </c>
      <c r="B95" s="18"/>
      <c r="C95" s="18"/>
      <c r="D95" s="18"/>
      <c r="E95" s="18"/>
      <c r="F95" s="497"/>
      <c r="G95" s="497"/>
      <c r="H95" s="413">
        <v>2</v>
      </c>
      <c r="I95" s="414">
        <v>78</v>
      </c>
      <c r="J95" s="74"/>
      <c r="K95" s="12" t="str">
        <f t="shared" si="5"/>
        <v>TEF</v>
      </c>
      <c r="L95" s="12" t="str">
        <f t="shared" si="6"/>
        <v>PART_TEF_</v>
      </c>
      <c r="M95" s="12" t="str">
        <f t="shared" si="7"/>
        <v>NO</v>
      </c>
      <c r="N95" s="14" t="str">
        <f t="shared" si="8"/>
        <v/>
      </c>
      <c r="O95" s="14" t="str">
        <f>IF(COUNTBLANK(G95)=1,"",IF(G95&lt;VLOOKUP(L95,FeeLookup!$J$29:$L$30,2,FALSE),"YES","NO"))</f>
        <v/>
      </c>
      <c r="P95" s="14" t="str">
        <f>IF(COUNTBLANK(G95)=1,"",IF(G95&gt;VLOOKUP(L95,FeeLookup!$J$29:$L$30,3,FALSE),"YES","NO"))</f>
        <v/>
      </c>
      <c r="Q95" s="14" t="str">
        <f t="shared" si="9"/>
        <v/>
      </c>
    </row>
    <row r="96" spans="1:17" s="344" customFormat="1" x14ac:dyDescent="0.25">
      <c r="A96" s="71">
        <v>79</v>
      </c>
      <c r="B96" s="18"/>
      <c r="C96" s="18"/>
      <c r="D96" s="18"/>
      <c r="E96" s="18"/>
      <c r="F96" s="497"/>
      <c r="G96" s="497"/>
      <c r="H96" s="413">
        <v>2</v>
      </c>
      <c r="I96" s="414">
        <v>79</v>
      </c>
      <c r="J96" s="74"/>
      <c r="K96" s="12" t="str">
        <f t="shared" si="5"/>
        <v>TEF</v>
      </c>
      <c r="L96" s="12" t="str">
        <f t="shared" si="6"/>
        <v>PART_TEF_</v>
      </c>
      <c r="M96" s="12" t="str">
        <f t="shared" si="7"/>
        <v>NO</v>
      </c>
      <c r="N96" s="14" t="str">
        <f t="shared" si="8"/>
        <v/>
      </c>
      <c r="O96" s="14" t="str">
        <f>IF(COUNTBLANK(G96)=1,"",IF(G96&lt;VLOOKUP(L96,FeeLookup!$J$29:$L$30,2,FALSE),"YES","NO"))</f>
        <v/>
      </c>
      <c r="P96" s="14" t="str">
        <f>IF(COUNTBLANK(G96)=1,"",IF(G96&gt;VLOOKUP(L96,FeeLookup!$J$29:$L$30,3,FALSE),"YES","NO"))</f>
        <v/>
      </c>
      <c r="Q96" s="14" t="str">
        <f t="shared" si="9"/>
        <v/>
      </c>
    </row>
    <row r="97" spans="1:17" s="344" customFormat="1" x14ac:dyDescent="0.25">
      <c r="A97" s="71">
        <v>80</v>
      </c>
      <c r="B97" s="18"/>
      <c r="C97" s="18"/>
      <c r="D97" s="18"/>
      <c r="E97" s="18"/>
      <c r="F97" s="497"/>
      <c r="G97" s="497"/>
      <c r="H97" s="413">
        <v>2</v>
      </c>
      <c r="I97" s="414">
        <v>80</v>
      </c>
      <c r="J97" s="74"/>
      <c r="K97" s="12" t="str">
        <f t="shared" si="5"/>
        <v>TEF</v>
      </c>
      <c r="L97" s="12" t="str">
        <f t="shared" si="6"/>
        <v>PART_TEF_</v>
      </c>
      <c r="M97" s="12" t="str">
        <f t="shared" si="7"/>
        <v>NO</v>
      </c>
      <c r="N97" s="14" t="str">
        <f t="shared" si="8"/>
        <v/>
      </c>
      <c r="O97" s="14" t="str">
        <f>IF(COUNTBLANK(G97)=1,"",IF(G97&lt;VLOOKUP(L97,FeeLookup!$J$29:$L$30,2,FALSE),"YES","NO"))</f>
        <v/>
      </c>
      <c r="P97" s="14" t="str">
        <f>IF(COUNTBLANK(G97)=1,"",IF(G97&gt;VLOOKUP(L97,FeeLookup!$J$29:$L$30,3,FALSE),"YES","NO"))</f>
        <v/>
      </c>
      <c r="Q97" s="14" t="str">
        <f t="shared" si="9"/>
        <v/>
      </c>
    </row>
    <row r="98" spans="1:17" s="344" customFormat="1" x14ac:dyDescent="0.25">
      <c r="A98" s="71">
        <v>81</v>
      </c>
      <c r="B98" s="18"/>
      <c r="C98" s="18"/>
      <c r="D98" s="18"/>
      <c r="E98" s="18"/>
      <c r="F98" s="497"/>
      <c r="G98" s="497"/>
      <c r="H98" s="413">
        <v>2</v>
      </c>
      <c r="I98" s="414">
        <v>81</v>
      </c>
      <c r="J98" s="74"/>
      <c r="K98" s="12" t="str">
        <f t="shared" si="5"/>
        <v>TEF</v>
      </c>
      <c r="L98" s="12" t="str">
        <f t="shared" si="6"/>
        <v>PART_TEF_</v>
      </c>
      <c r="M98" s="12" t="str">
        <f t="shared" si="7"/>
        <v>NO</v>
      </c>
      <c r="N98" s="14" t="str">
        <f t="shared" si="8"/>
        <v/>
      </c>
      <c r="O98" s="14" t="str">
        <f>IF(COUNTBLANK(G98)=1,"",IF(G98&lt;VLOOKUP(L98,FeeLookup!$J$29:$L$30,2,FALSE),"YES","NO"))</f>
        <v/>
      </c>
      <c r="P98" s="14" t="str">
        <f>IF(COUNTBLANK(G98)=1,"",IF(G98&gt;VLOOKUP(L98,FeeLookup!$J$29:$L$30,3,FALSE),"YES","NO"))</f>
        <v/>
      </c>
      <c r="Q98" s="14" t="str">
        <f t="shared" si="9"/>
        <v/>
      </c>
    </row>
    <row r="99" spans="1:17" s="344" customFormat="1" x14ac:dyDescent="0.25">
      <c r="A99" s="71">
        <v>82</v>
      </c>
      <c r="B99" s="18"/>
      <c r="C99" s="18"/>
      <c r="D99" s="18"/>
      <c r="E99" s="18"/>
      <c r="F99" s="497"/>
      <c r="G99" s="497"/>
      <c r="H99" s="413">
        <v>2</v>
      </c>
      <c r="I99" s="414">
        <v>82</v>
      </c>
      <c r="J99" s="74"/>
      <c r="K99" s="12" t="str">
        <f t="shared" si="5"/>
        <v>TEF</v>
      </c>
      <c r="L99" s="12" t="str">
        <f t="shared" si="6"/>
        <v>PART_TEF_</v>
      </c>
      <c r="M99" s="12" t="str">
        <f t="shared" si="7"/>
        <v>NO</v>
      </c>
      <c r="N99" s="14" t="str">
        <f t="shared" si="8"/>
        <v/>
      </c>
      <c r="O99" s="14" t="str">
        <f>IF(COUNTBLANK(G99)=1,"",IF(G99&lt;VLOOKUP(L99,FeeLookup!$J$29:$L$30,2,FALSE),"YES","NO"))</f>
        <v/>
      </c>
      <c r="P99" s="14" t="str">
        <f>IF(COUNTBLANK(G99)=1,"",IF(G99&gt;VLOOKUP(L99,FeeLookup!$J$29:$L$30,3,FALSE),"YES","NO"))</f>
        <v/>
      </c>
      <c r="Q99" s="14" t="str">
        <f t="shared" si="9"/>
        <v/>
      </c>
    </row>
    <row r="100" spans="1:17" s="344" customFormat="1" x14ac:dyDescent="0.25">
      <c r="A100" s="71">
        <v>83</v>
      </c>
      <c r="B100" s="18"/>
      <c r="C100" s="18"/>
      <c r="D100" s="18"/>
      <c r="E100" s="18"/>
      <c r="F100" s="497"/>
      <c r="G100" s="497"/>
      <c r="H100" s="413">
        <v>2</v>
      </c>
      <c r="I100" s="414">
        <v>83</v>
      </c>
      <c r="J100" s="74"/>
      <c r="K100" s="12" t="str">
        <f t="shared" si="5"/>
        <v>TEF</v>
      </c>
      <c r="L100" s="12" t="str">
        <f t="shared" si="6"/>
        <v>PART_TEF_</v>
      </c>
      <c r="M100" s="12" t="str">
        <f t="shared" si="7"/>
        <v>NO</v>
      </c>
      <c r="N100" s="14" t="str">
        <f t="shared" si="8"/>
        <v/>
      </c>
      <c r="O100" s="14" t="str">
        <f>IF(COUNTBLANK(G100)=1,"",IF(G100&lt;VLOOKUP(L100,FeeLookup!$J$29:$L$30,2,FALSE),"YES","NO"))</f>
        <v/>
      </c>
      <c r="P100" s="14" t="str">
        <f>IF(COUNTBLANK(G100)=1,"",IF(G100&gt;VLOOKUP(L100,FeeLookup!$J$29:$L$30,3,FALSE),"YES","NO"))</f>
        <v/>
      </c>
      <c r="Q100" s="14" t="str">
        <f t="shared" si="9"/>
        <v/>
      </c>
    </row>
    <row r="101" spans="1:17" s="344" customFormat="1" x14ac:dyDescent="0.25">
      <c r="A101" s="71">
        <v>84</v>
      </c>
      <c r="B101" s="18"/>
      <c r="C101" s="18"/>
      <c r="D101" s="18"/>
      <c r="E101" s="18"/>
      <c r="F101" s="497"/>
      <c r="G101" s="497"/>
      <c r="H101" s="413">
        <v>2</v>
      </c>
      <c r="I101" s="414">
        <v>84</v>
      </c>
      <c r="J101" s="74"/>
      <c r="K101" s="12" t="str">
        <f t="shared" si="5"/>
        <v>TEF</v>
      </c>
      <c r="L101" s="12" t="str">
        <f t="shared" si="6"/>
        <v>PART_TEF_</v>
      </c>
      <c r="M101" s="12" t="str">
        <f t="shared" si="7"/>
        <v>NO</v>
      </c>
      <c r="N101" s="14" t="str">
        <f t="shared" si="8"/>
        <v/>
      </c>
      <c r="O101" s="14" t="str">
        <f>IF(COUNTBLANK(G101)=1,"",IF(G101&lt;VLOOKUP(L101,FeeLookup!$J$29:$L$30,2,FALSE),"YES","NO"))</f>
        <v/>
      </c>
      <c r="P101" s="14" t="str">
        <f>IF(COUNTBLANK(G101)=1,"",IF(G101&gt;VLOOKUP(L101,FeeLookup!$J$29:$L$30,3,FALSE),"YES","NO"))</f>
        <v/>
      </c>
      <c r="Q101" s="14" t="str">
        <f t="shared" si="9"/>
        <v/>
      </c>
    </row>
    <row r="102" spans="1:17" s="344" customFormat="1" x14ac:dyDescent="0.25">
      <c r="A102" s="71">
        <v>85</v>
      </c>
      <c r="B102" s="18"/>
      <c r="C102" s="18"/>
      <c r="D102" s="18"/>
      <c r="E102" s="18"/>
      <c r="F102" s="497"/>
      <c r="G102" s="497"/>
      <c r="H102" s="413">
        <v>2</v>
      </c>
      <c r="I102" s="414">
        <v>85</v>
      </c>
      <c r="J102" s="74"/>
      <c r="K102" s="12" t="str">
        <f t="shared" si="5"/>
        <v>TEF</v>
      </c>
      <c r="L102" s="12" t="str">
        <f t="shared" si="6"/>
        <v>PART_TEF_</v>
      </c>
      <c r="M102" s="12" t="str">
        <f t="shared" si="7"/>
        <v>NO</v>
      </c>
      <c r="N102" s="14" t="str">
        <f t="shared" si="8"/>
        <v/>
      </c>
      <c r="O102" s="14" t="str">
        <f>IF(COUNTBLANK(G102)=1,"",IF(G102&lt;VLOOKUP(L102,FeeLookup!$J$29:$L$30,2,FALSE),"YES","NO"))</f>
        <v/>
      </c>
      <c r="P102" s="14" t="str">
        <f>IF(COUNTBLANK(G102)=1,"",IF(G102&gt;VLOOKUP(L102,FeeLookup!$J$29:$L$30,3,FALSE),"YES","NO"))</f>
        <v/>
      </c>
      <c r="Q102" s="14" t="str">
        <f t="shared" si="9"/>
        <v/>
      </c>
    </row>
    <row r="103" spans="1:17" s="344" customFormat="1" x14ac:dyDescent="0.25">
      <c r="A103" s="71">
        <v>86</v>
      </c>
      <c r="B103" s="18"/>
      <c r="C103" s="18"/>
      <c r="D103" s="18"/>
      <c r="E103" s="18"/>
      <c r="F103" s="497"/>
      <c r="G103" s="497"/>
      <c r="H103" s="413">
        <v>2</v>
      </c>
      <c r="I103" s="414">
        <v>86</v>
      </c>
      <c r="J103" s="74"/>
      <c r="K103" s="12" t="str">
        <f t="shared" si="5"/>
        <v>TEF</v>
      </c>
      <c r="L103" s="12" t="str">
        <f t="shared" si="6"/>
        <v>PART_TEF_</v>
      </c>
      <c r="M103" s="12" t="str">
        <f t="shared" si="7"/>
        <v>NO</v>
      </c>
      <c r="N103" s="14" t="str">
        <f t="shared" si="8"/>
        <v/>
      </c>
      <c r="O103" s="14" t="str">
        <f>IF(COUNTBLANK(G103)=1,"",IF(G103&lt;VLOOKUP(L103,FeeLookup!$J$29:$L$30,2,FALSE),"YES","NO"))</f>
        <v/>
      </c>
      <c r="P103" s="14" t="str">
        <f>IF(COUNTBLANK(G103)=1,"",IF(G103&gt;VLOOKUP(L103,FeeLookup!$J$29:$L$30,3,FALSE),"YES","NO"))</f>
        <v/>
      </c>
      <c r="Q103" s="14" t="str">
        <f t="shared" si="9"/>
        <v/>
      </c>
    </row>
    <row r="104" spans="1:17" s="344" customFormat="1" x14ac:dyDescent="0.25">
      <c r="A104" s="71">
        <v>87</v>
      </c>
      <c r="B104" s="18"/>
      <c r="C104" s="18"/>
      <c r="D104" s="18"/>
      <c r="E104" s="18"/>
      <c r="F104" s="497"/>
      <c r="G104" s="497"/>
      <c r="H104" s="413">
        <v>2</v>
      </c>
      <c r="I104" s="414">
        <v>87</v>
      </c>
      <c r="J104" s="74"/>
      <c r="K104" s="12" t="str">
        <f t="shared" si="5"/>
        <v>TEF</v>
      </c>
      <c r="L104" s="12" t="str">
        <f t="shared" si="6"/>
        <v>PART_TEF_</v>
      </c>
      <c r="M104" s="12" t="str">
        <f t="shared" si="7"/>
        <v>NO</v>
      </c>
      <c r="N104" s="14" t="str">
        <f t="shared" si="8"/>
        <v/>
      </c>
      <c r="O104" s="14" t="str">
        <f>IF(COUNTBLANK(G104)=1,"",IF(G104&lt;VLOOKUP(L104,FeeLookup!$J$29:$L$30,2,FALSE),"YES","NO"))</f>
        <v/>
      </c>
      <c r="P104" s="14" t="str">
        <f>IF(COUNTBLANK(G104)=1,"",IF(G104&gt;VLOOKUP(L104,FeeLookup!$J$29:$L$30,3,FALSE),"YES","NO"))</f>
        <v/>
      </c>
      <c r="Q104" s="14" t="str">
        <f t="shared" si="9"/>
        <v/>
      </c>
    </row>
    <row r="105" spans="1:17" s="344" customFormat="1" x14ac:dyDescent="0.25">
      <c r="A105" s="71">
        <v>88</v>
      </c>
      <c r="B105" s="18"/>
      <c r="C105" s="18"/>
      <c r="D105" s="18"/>
      <c r="E105" s="18"/>
      <c r="F105" s="497"/>
      <c r="G105" s="497"/>
      <c r="H105" s="413">
        <v>2</v>
      </c>
      <c r="I105" s="414">
        <v>88</v>
      </c>
      <c r="J105" s="74"/>
      <c r="K105" s="12" t="str">
        <f t="shared" si="5"/>
        <v>TEF</v>
      </c>
      <c r="L105" s="12" t="str">
        <f t="shared" si="6"/>
        <v>PART_TEF_</v>
      </c>
      <c r="M105" s="12" t="str">
        <f t="shared" si="7"/>
        <v>NO</v>
      </c>
      <c r="N105" s="14" t="str">
        <f t="shared" si="8"/>
        <v/>
      </c>
      <c r="O105" s="14" t="str">
        <f>IF(COUNTBLANK(G105)=1,"",IF(G105&lt;VLOOKUP(L105,FeeLookup!$J$29:$L$30,2,FALSE),"YES","NO"))</f>
        <v/>
      </c>
      <c r="P105" s="14" t="str">
        <f>IF(COUNTBLANK(G105)=1,"",IF(G105&gt;VLOOKUP(L105,FeeLookup!$J$29:$L$30,3,FALSE),"YES","NO"))</f>
        <v/>
      </c>
      <c r="Q105" s="14" t="str">
        <f t="shared" si="9"/>
        <v/>
      </c>
    </row>
    <row r="106" spans="1:17" s="344" customFormat="1" x14ac:dyDescent="0.25">
      <c r="A106" s="71">
        <v>89</v>
      </c>
      <c r="B106" s="18"/>
      <c r="C106" s="18"/>
      <c r="D106" s="18"/>
      <c r="E106" s="18"/>
      <c r="F106" s="497"/>
      <c r="G106" s="497"/>
      <c r="H106" s="413">
        <v>2</v>
      </c>
      <c r="I106" s="414">
        <v>89</v>
      </c>
      <c r="J106" s="74"/>
      <c r="K106" s="12" t="str">
        <f t="shared" si="5"/>
        <v>TEF</v>
      </c>
      <c r="L106" s="12" t="str">
        <f t="shared" si="6"/>
        <v>PART_TEF_</v>
      </c>
      <c r="M106" s="12" t="str">
        <f t="shared" si="7"/>
        <v>NO</v>
      </c>
      <c r="N106" s="14" t="str">
        <f t="shared" si="8"/>
        <v/>
      </c>
      <c r="O106" s="14" t="str">
        <f>IF(COUNTBLANK(G106)=1,"",IF(G106&lt;VLOOKUP(L106,FeeLookup!$J$29:$L$30,2,FALSE),"YES","NO"))</f>
        <v/>
      </c>
      <c r="P106" s="14" t="str">
        <f>IF(COUNTBLANK(G106)=1,"",IF(G106&gt;VLOOKUP(L106,FeeLookup!$J$29:$L$30,3,FALSE),"YES","NO"))</f>
        <v/>
      </c>
      <c r="Q106" s="14" t="str">
        <f t="shared" si="9"/>
        <v/>
      </c>
    </row>
    <row r="107" spans="1:17" s="344" customFormat="1" x14ac:dyDescent="0.25">
      <c r="A107" s="71">
        <v>90</v>
      </c>
      <c r="B107" s="18"/>
      <c r="C107" s="18"/>
      <c r="D107" s="18"/>
      <c r="E107" s="18"/>
      <c r="F107" s="497"/>
      <c r="G107" s="497"/>
      <c r="H107" s="413">
        <v>2</v>
      </c>
      <c r="I107" s="414">
        <v>90</v>
      </c>
      <c r="J107" s="74"/>
      <c r="K107" s="12" t="str">
        <f t="shared" si="5"/>
        <v>TEF</v>
      </c>
      <c r="L107" s="12" t="str">
        <f t="shared" si="6"/>
        <v>PART_TEF_</v>
      </c>
      <c r="M107" s="12" t="str">
        <f t="shared" si="7"/>
        <v>NO</v>
      </c>
      <c r="N107" s="14" t="str">
        <f t="shared" si="8"/>
        <v/>
      </c>
      <c r="O107" s="14" t="str">
        <f>IF(COUNTBLANK(G107)=1,"",IF(G107&lt;VLOOKUP(L107,FeeLookup!$J$29:$L$30,2,FALSE),"YES","NO"))</f>
        <v/>
      </c>
      <c r="P107" s="14" t="str">
        <f>IF(COUNTBLANK(G107)=1,"",IF(G107&gt;VLOOKUP(L107,FeeLookup!$J$29:$L$30,3,FALSE),"YES","NO"))</f>
        <v/>
      </c>
      <c r="Q107" s="14" t="str">
        <f t="shared" si="9"/>
        <v/>
      </c>
    </row>
    <row r="108" spans="1:17" s="344" customFormat="1" x14ac:dyDescent="0.25">
      <c r="A108" s="71">
        <v>91</v>
      </c>
      <c r="B108" s="18"/>
      <c r="C108" s="18"/>
      <c r="D108" s="18"/>
      <c r="E108" s="18"/>
      <c r="F108" s="497"/>
      <c r="G108" s="497"/>
      <c r="H108" s="413">
        <v>2</v>
      </c>
      <c r="I108" s="414">
        <v>91</v>
      </c>
      <c r="J108" s="74"/>
      <c r="K108" s="12" t="str">
        <f t="shared" si="5"/>
        <v>TEF</v>
      </c>
      <c r="L108" s="12" t="str">
        <f t="shared" si="6"/>
        <v>PART_TEF_</v>
      </c>
      <c r="M108" s="12" t="str">
        <f t="shared" si="7"/>
        <v>NO</v>
      </c>
      <c r="N108" s="14" t="str">
        <f t="shared" si="8"/>
        <v/>
      </c>
      <c r="O108" s="14" t="str">
        <f>IF(COUNTBLANK(G108)=1,"",IF(G108&lt;VLOOKUP(L108,FeeLookup!$J$29:$L$30,2,FALSE),"YES","NO"))</f>
        <v/>
      </c>
      <c r="P108" s="14" t="str">
        <f>IF(COUNTBLANK(G108)=1,"",IF(G108&gt;VLOOKUP(L108,FeeLookup!$J$29:$L$30,3,FALSE),"YES","NO"))</f>
        <v/>
      </c>
      <c r="Q108" s="14" t="str">
        <f t="shared" si="9"/>
        <v/>
      </c>
    </row>
    <row r="109" spans="1:17" s="344" customFormat="1" x14ac:dyDescent="0.25">
      <c r="A109" s="71">
        <v>92</v>
      </c>
      <c r="B109" s="18"/>
      <c r="C109" s="18"/>
      <c r="D109" s="18"/>
      <c r="E109" s="18"/>
      <c r="F109" s="497"/>
      <c r="G109" s="497"/>
      <c r="H109" s="413">
        <v>2</v>
      </c>
      <c r="I109" s="414">
        <v>92</v>
      </c>
      <c r="J109" s="74"/>
      <c r="K109" s="12" t="str">
        <f t="shared" si="5"/>
        <v>TEF</v>
      </c>
      <c r="L109" s="12" t="str">
        <f t="shared" si="6"/>
        <v>PART_TEF_</v>
      </c>
      <c r="M109" s="12" t="str">
        <f t="shared" si="7"/>
        <v>NO</v>
      </c>
      <c r="N109" s="14" t="str">
        <f t="shared" si="8"/>
        <v/>
      </c>
      <c r="O109" s="14" t="str">
        <f>IF(COUNTBLANK(G109)=1,"",IF(G109&lt;VLOOKUP(L109,FeeLookup!$J$29:$L$30,2,FALSE),"YES","NO"))</f>
        <v/>
      </c>
      <c r="P109" s="14" t="str">
        <f>IF(COUNTBLANK(G109)=1,"",IF(G109&gt;VLOOKUP(L109,FeeLookup!$J$29:$L$30,3,FALSE),"YES","NO"))</f>
        <v/>
      </c>
      <c r="Q109" s="14" t="str">
        <f t="shared" si="9"/>
        <v/>
      </c>
    </row>
    <row r="110" spans="1:17" s="344" customFormat="1" x14ac:dyDescent="0.25">
      <c r="A110" s="71">
        <v>93</v>
      </c>
      <c r="B110" s="18"/>
      <c r="C110" s="18"/>
      <c r="D110" s="18"/>
      <c r="E110" s="18"/>
      <c r="F110" s="497"/>
      <c r="G110" s="497"/>
      <c r="H110" s="413">
        <v>2</v>
      </c>
      <c r="I110" s="414">
        <v>93</v>
      </c>
      <c r="J110" s="74"/>
      <c r="K110" s="12" t="str">
        <f t="shared" si="5"/>
        <v>TEF</v>
      </c>
      <c r="L110" s="12" t="str">
        <f t="shared" si="6"/>
        <v>PART_TEF_</v>
      </c>
      <c r="M110" s="12" t="str">
        <f t="shared" si="7"/>
        <v>NO</v>
      </c>
      <c r="N110" s="14" t="str">
        <f t="shared" si="8"/>
        <v/>
      </c>
      <c r="O110" s="14" t="str">
        <f>IF(COUNTBLANK(G110)=1,"",IF(G110&lt;VLOOKUP(L110,FeeLookup!$J$29:$L$30,2,FALSE),"YES","NO"))</f>
        <v/>
      </c>
      <c r="P110" s="14" t="str">
        <f>IF(COUNTBLANK(G110)=1,"",IF(G110&gt;VLOOKUP(L110,FeeLookup!$J$29:$L$30,3,FALSE),"YES","NO"))</f>
        <v/>
      </c>
      <c r="Q110" s="14" t="str">
        <f t="shared" si="9"/>
        <v/>
      </c>
    </row>
    <row r="111" spans="1:17" s="344" customFormat="1" x14ac:dyDescent="0.25">
      <c r="A111" s="71">
        <v>94</v>
      </c>
      <c r="B111" s="18"/>
      <c r="C111" s="18"/>
      <c r="D111" s="18"/>
      <c r="E111" s="18"/>
      <c r="F111" s="497"/>
      <c r="G111" s="497"/>
      <c r="H111" s="413">
        <v>2</v>
      </c>
      <c r="I111" s="414">
        <v>94</v>
      </c>
      <c r="J111" s="74"/>
      <c r="K111" s="12" t="str">
        <f t="shared" si="5"/>
        <v>TEF</v>
      </c>
      <c r="L111" s="12" t="str">
        <f t="shared" si="6"/>
        <v>PART_TEF_</v>
      </c>
      <c r="M111" s="12" t="str">
        <f t="shared" si="7"/>
        <v>NO</v>
      </c>
      <c r="N111" s="14" t="str">
        <f t="shared" si="8"/>
        <v/>
      </c>
      <c r="O111" s="14" t="str">
        <f>IF(COUNTBLANK(G111)=1,"",IF(G111&lt;VLOOKUP(L111,FeeLookup!$J$29:$L$30,2,FALSE),"YES","NO"))</f>
        <v/>
      </c>
      <c r="P111" s="14" t="str">
        <f>IF(COUNTBLANK(G111)=1,"",IF(G111&gt;VLOOKUP(L111,FeeLookup!$J$29:$L$30,3,FALSE),"YES","NO"))</f>
        <v/>
      </c>
      <c r="Q111" s="14" t="str">
        <f t="shared" si="9"/>
        <v/>
      </c>
    </row>
    <row r="112" spans="1:17" s="344" customFormat="1" x14ac:dyDescent="0.25">
      <c r="A112" s="71">
        <v>95</v>
      </c>
      <c r="B112" s="18"/>
      <c r="C112" s="18"/>
      <c r="D112" s="18"/>
      <c r="E112" s="18"/>
      <c r="F112" s="497"/>
      <c r="G112" s="497"/>
      <c r="H112" s="413">
        <v>2</v>
      </c>
      <c r="I112" s="414">
        <v>95</v>
      </c>
      <c r="J112" s="74"/>
      <c r="K112" s="12" t="str">
        <f t="shared" si="5"/>
        <v>TEF</v>
      </c>
      <c r="L112" s="12" t="str">
        <f t="shared" si="6"/>
        <v>PART_TEF_</v>
      </c>
      <c r="M112" s="12" t="str">
        <f t="shared" si="7"/>
        <v>NO</v>
      </c>
      <c r="N112" s="14" t="str">
        <f t="shared" si="8"/>
        <v/>
      </c>
      <c r="O112" s="14" t="str">
        <f>IF(COUNTBLANK(G112)=1,"",IF(G112&lt;VLOOKUP(L112,FeeLookup!$J$29:$L$30,2,FALSE),"YES","NO"))</f>
        <v/>
      </c>
      <c r="P112" s="14" t="str">
        <f>IF(COUNTBLANK(G112)=1,"",IF(G112&gt;VLOOKUP(L112,FeeLookup!$J$29:$L$30,3,FALSE),"YES","NO"))</f>
        <v/>
      </c>
      <c r="Q112" s="14" t="str">
        <f t="shared" si="9"/>
        <v/>
      </c>
    </row>
    <row r="113" spans="1:17" s="344" customFormat="1" x14ac:dyDescent="0.25">
      <c r="A113" s="71">
        <v>96</v>
      </c>
      <c r="B113" s="18"/>
      <c r="C113" s="18"/>
      <c r="D113" s="18"/>
      <c r="E113" s="18"/>
      <c r="F113" s="497"/>
      <c r="G113" s="497"/>
      <c r="H113" s="413">
        <v>2</v>
      </c>
      <c r="I113" s="414">
        <v>96</v>
      </c>
      <c r="J113" s="74"/>
      <c r="K113" s="12" t="str">
        <f t="shared" si="5"/>
        <v>TEF</v>
      </c>
      <c r="L113" s="12" t="str">
        <f t="shared" si="6"/>
        <v>PART_TEF_</v>
      </c>
      <c r="M113" s="12" t="str">
        <f t="shared" si="7"/>
        <v>NO</v>
      </c>
      <c r="N113" s="14" t="str">
        <f t="shared" si="8"/>
        <v/>
      </c>
      <c r="O113" s="14" t="str">
        <f>IF(COUNTBLANK(G113)=1,"",IF(G113&lt;VLOOKUP(L113,FeeLookup!$J$29:$L$30,2,FALSE),"YES","NO"))</f>
        <v/>
      </c>
      <c r="P113" s="14" t="str">
        <f>IF(COUNTBLANK(G113)=1,"",IF(G113&gt;VLOOKUP(L113,FeeLookup!$J$29:$L$30,3,FALSE),"YES","NO"))</f>
        <v/>
      </c>
      <c r="Q113" s="14" t="str">
        <f t="shared" si="9"/>
        <v/>
      </c>
    </row>
    <row r="114" spans="1:17" s="344" customFormat="1" x14ac:dyDescent="0.25">
      <c r="A114" s="71">
        <v>97</v>
      </c>
      <c r="B114" s="18"/>
      <c r="C114" s="18"/>
      <c r="D114" s="18"/>
      <c r="E114" s="18"/>
      <c r="F114" s="497"/>
      <c r="G114" s="497"/>
      <c r="H114" s="413">
        <v>2</v>
      </c>
      <c r="I114" s="414">
        <v>97</v>
      </c>
      <c r="J114" s="74"/>
      <c r="K114" s="12" t="str">
        <f t="shared" si="5"/>
        <v>TEF</v>
      </c>
      <c r="L114" s="12" t="str">
        <f t="shared" si="6"/>
        <v>PART_TEF_</v>
      </c>
      <c r="M114" s="12" t="str">
        <f t="shared" si="7"/>
        <v>NO</v>
      </c>
      <c r="N114" s="14" t="str">
        <f t="shared" si="8"/>
        <v/>
      </c>
      <c r="O114" s="14" t="str">
        <f>IF(COUNTBLANK(G114)=1,"",IF(G114&lt;VLOOKUP(L114,FeeLookup!$J$29:$L$30,2,FALSE),"YES","NO"))</f>
        <v/>
      </c>
      <c r="P114" s="14" t="str">
        <f>IF(COUNTBLANK(G114)=1,"",IF(G114&gt;VLOOKUP(L114,FeeLookup!$J$29:$L$30,3,FALSE),"YES","NO"))</f>
        <v/>
      </c>
      <c r="Q114" s="14" t="str">
        <f t="shared" si="9"/>
        <v/>
      </c>
    </row>
    <row r="115" spans="1:17" s="344" customFormat="1" x14ac:dyDescent="0.25">
      <c r="A115" s="71">
        <v>98</v>
      </c>
      <c r="B115" s="18"/>
      <c r="C115" s="18"/>
      <c r="D115" s="18"/>
      <c r="E115" s="18"/>
      <c r="F115" s="497"/>
      <c r="G115" s="497"/>
      <c r="H115" s="413">
        <v>2</v>
      </c>
      <c r="I115" s="414">
        <v>98</v>
      </c>
      <c r="J115" s="74"/>
      <c r="K115" s="12" t="str">
        <f t="shared" si="5"/>
        <v>TEF</v>
      </c>
      <c r="L115" s="12" t="str">
        <f t="shared" si="6"/>
        <v>PART_TEF_</v>
      </c>
      <c r="M115" s="12" t="str">
        <f t="shared" si="7"/>
        <v>NO</v>
      </c>
      <c r="N115" s="14" t="str">
        <f t="shared" si="8"/>
        <v/>
      </c>
      <c r="O115" s="14" t="str">
        <f>IF(COUNTBLANK(G115)=1,"",IF(G115&lt;VLOOKUP(L115,FeeLookup!$J$29:$L$30,2,FALSE),"YES","NO"))</f>
        <v/>
      </c>
      <c r="P115" s="14" t="str">
        <f>IF(COUNTBLANK(G115)=1,"",IF(G115&gt;VLOOKUP(L115,FeeLookup!$J$29:$L$30,3,FALSE),"YES","NO"))</f>
        <v/>
      </c>
      <c r="Q115" s="14" t="str">
        <f t="shared" si="9"/>
        <v/>
      </c>
    </row>
    <row r="116" spans="1:17" s="344" customFormat="1" x14ac:dyDescent="0.25">
      <c r="A116" s="71">
        <v>99</v>
      </c>
      <c r="B116" s="18"/>
      <c r="C116" s="18"/>
      <c r="D116" s="18"/>
      <c r="E116" s="18"/>
      <c r="F116" s="497"/>
      <c r="G116" s="497"/>
      <c r="H116" s="413">
        <v>2</v>
      </c>
      <c r="I116" s="414">
        <v>99</v>
      </c>
      <c r="J116" s="74"/>
      <c r="K116" s="12" t="str">
        <f t="shared" si="5"/>
        <v>TEF</v>
      </c>
      <c r="L116" s="12" t="str">
        <f t="shared" si="6"/>
        <v>PART_TEF_</v>
      </c>
      <c r="M116" s="12" t="str">
        <f t="shared" si="7"/>
        <v>NO</v>
      </c>
      <c r="N116" s="14" t="str">
        <f t="shared" si="8"/>
        <v/>
      </c>
      <c r="O116" s="14" t="str">
        <f>IF(COUNTBLANK(G116)=1,"",IF(G116&lt;VLOOKUP(L116,FeeLookup!$J$29:$L$30,2,FALSE),"YES","NO"))</f>
        <v/>
      </c>
      <c r="P116" s="14" t="str">
        <f>IF(COUNTBLANK(G116)=1,"",IF(G116&gt;VLOOKUP(L116,FeeLookup!$J$29:$L$30,3,FALSE),"YES","NO"))</f>
        <v/>
      </c>
      <c r="Q116" s="14" t="str">
        <f t="shared" si="9"/>
        <v/>
      </c>
    </row>
    <row r="117" spans="1:17" s="344" customFormat="1" x14ac:dyDescent="0.25">
      <c r="A117" s="71">
        <v>100</v>
      </c>
      <c r="B117" s="18"/>
      <c r="C117" s="18"/>
      <c r="D117" s="18"/>
      <c r="E117" s="18"/>
      <c r="F117" s="497"/>
      <c r="G117" s="497"/>
      <c r="H117" s="413">
        <v>2</v>
      </c>
      <c r="I117" s="414">
        <v>100</v>
      </c>
      <c r="J117" s="74"/>
      <c r="K117" s="12" t="str">
        <f t="shared" si="5"/>
        <v>TEF</v>
      </c>
      <c r="L117" s="12" t="str">
        <f t="shared" si="6"/>
        <v>PART_TEF_</v>
      </c>
      <c r="M117" s="12" t="str">
        <f t="shared" si="7"/>
        <v>NO</v>
      </c>
      <c r="N117" s="14" t="str">
        <f t="shared" si="8"/>
        <v/>
      </c>
      <c r="O117" s="14" t="str">
        <f>IF(COUNTBLANK(G117)=1,"",IF(G117&lt;VLOOKUP(L117,FeeLookup!$J$29:$L$30,2,FALSE),"YES","NO"))</f>
        <v/>
      </c>
      <c r="P117" s="14" t="str">
        <f>IF(COUNTBLANK(G117)=1,"",IF(G117&gt;VLOOKUP(L117,FeeLookup!$J$29:$L$30,3,FALSE),"YES","NO"))</f>
        <v/>
      </c>
      <c r="Q117" s="14" t="str">
        <f t="shared" si="9"/>
        <v/>
      </c>
    </row>
    <row r="118" spans="1:17" s="344" customFormat="1" x14ac:dyDescent="0.25">
      <c r="A118" s="71">
        <v>101</v>
      </c>
      <c r="B118" s="18"/>
      <c r="C118" s="18"/>
      <c r="D118" s="18"/>
      <c r="E118" s="18"/>
      <c r="F118" s="497"/>
      <c r="G118" s="497"/>
      <c r="H118" s="413">
        <v>2</v>
      </c>
      <c r="I118" s="414">
        <v>101</v>
      </c>
      <c r="J118" s="74"/>
      <c r="K118" s="12" t="str">
        <f t="shared" si="5"/>
        <v>TEF</v>
      </c>
      <c r="L118" s="12" t="str">
        <f t="shared" si="6"/>
        <v>PART_TEF_</v>
      </c>
      <c r="M118" s="12" t="str">
        <f t="shared" si="7"/>
        <v>NO</v>
      </c>
      <c r="N118" s="14" t="str">
        <f t="shared" si="8"/>
        <v/>
      </c>
      <c r="O118" s="14" t="str">
        <f>IF(COUNTBLANK(G118)=1,"",IF(G118&lt;VLOOKUP(L118,FeeLookup!$J$29:$L$30,2,FALSE),"YES","NO"))</f>
        <v/>
      </c>
      <c r="P118" s="14" t="str">
        <f>IF(COUNTBLANK(G118)=1,"",IF(G118&gt;VLOOKUP(L118,FeeLookup!$J$29:$L$30,3,FALSE),"YES","NO"))</f>
        <v/>
      </c>
      <c r="Q118" s="14" t="str">
        <f t="shared" si="9"/>
        <v/>
      </c>
    </row>
    <row r="119" spans="1:17" s="344" customFormat="1" x14ac:dyDescent="0.25">
      <c r="A119" s="71">
        <v>102</v>
      </c>
      <c r="B119" s="18"/>
      <c r="C119" s="18"/>
      <c r="D119" s="18"/>
      <c r="E119" s="18"/>
      <c r="F119" s="497"/>
      <c r="G119" s="497"/>
      <c r="H119" s="413">
        <v>2</v>
      </c>
      <c r="I119" s="414">
        <v>102</v>
      </c>
      <c r="J119" s="74"/>
      <c r="K119" s="12" t="str">
        <f t="shared" si="5"/>
        <v>TEF</v>
      </c>
      <c r="L119" s="12" t="str">
        <f t="shared" si="6"/>
        <v>PART_TEF_</v>
      </c>
      <c r="M119" s="12" t="str">
        <f t="shared" si="7"/>
        <v>NO</v>
      </c>
      <c r="N119" s="14" t="str">
        <f t="shared" si="8"/>
        <v/>
      </c>
      <c r="O119" s="14" t="str">
        <f>IF(COUNTBLANK(G119)=1,"",IF(G119&lt;VLOOKUP(L119,FeeLookup!$J$29:$L$30,2,FALSE),"YES","NO"))</f>
        <v/>
      </c>
      <c r="P119" s="14" t="str">
        <f>IF(COUNTBLANK(G119)=1,"",IF(G119&gt;VLOOKUP(L119,FeeLookup!$J$29:$L$30,3,FALSE),"YES","NO"))</f>
        <v/>
      </c>
      <c r="Q119" s="14" t="str">
        <f t="shared" si="9"/>
        <v/>
      </c>
    </row>
    <row r="120" spans="1:17" s="344" customFormat="1" x14ac:dyDescent="0.25">
      <c r="A120" s="71">
        <v>103</v>
      </c>
      <c r="B120" s="18"/>
      <c r="C120" s="18"/>
      <c r="D120" s="18"/>
      <c r="E120" s="18"/>
      <c r="F120" s="497"/>
      <c r="G120" s="497"/>
      <c r="H120" s="413">
        <v>2</v>
      </c>
      <c r="I120" s="414">
        <v>103</v>
      </c>
      <c r="J120" s="74"/>
      <c r="K120" s="12" t="str">
        <f t="shared" si="5"/>
        <v>TEF</v>
      </c>
      <c r="L120" s="12" t="str">
        <f t="shared" si="6"/>
        <v>PART_TEF_</v>
      </c>
      <c r="M120" s="12" t="str">
        <f t="shared" si="7"/>
        <v>NO</v>
      </c>
      <c r="N120" s="14" t="str">
        <f t="shared" si="8"/>
        <v/>
      </c>
      <c r="O120" s="14" t="str">
        <f>IF(COUNTBLANK(G120)=1,"",IF(G120&lt;VLOOKUP(L120,FeeLookup!$J$29:$L$30,2,FALSE),"YES","NO"))</f>
        <v/>
      </c>
      <c r="P120" s="14" t="str">
        <f>IF(COUNTBLANK(G120)=1,"",IF(G120&gt;VLOOKUP(L120,FeeLookup!$J$29:$L$30,3,FALSE),"YES","NO"))</f>
        <v/>
      </c>
      <c r="Q120" s="14" t="str">
        <f t="shared" si="9"/>
        <v/>
      </c>
    </row>
    <row r="121" spans="1:17" s="344" customFormat="1" x14ac:dyDescent="0.25">
      <c r="A121" s="71">
        <v>104</v>
      </c>
      <c r="B121" s="18"/>
      <c r="C121" s="18"/>
      <c r="D121" s="18"/>
      <c r="E121" s="18"/>
      <c r="F121" s="497"/>
      <c r="G121" s="497"/>
      <c r="H121" s="413">
        <v>2</v>
      </c>
      <c r="I121" s="414">
        <v>104</v>
      </c>
      <c r="J121" s="74"/>
      <c r="K121" s="12" t="str">
        <f t="shared" si="5"/>
        <v>TEF</v>
      </c>
      <c r="L121" s="12" t="str">
        <f t="shared" si="6"/>
        <v>PART_TEF_</v>
      </c>
      <c r="M121" s="12" t="str">
        <f t="shared" si="7"/>
        <v>NO</v>
      </c>
      <c r="N121" s="14" t="str">
        <f t="shared" si="8"/>
        <v/>
      </c>
      <c r="O121" s="14" t="str">
        <f>IF(COUNTBLANK(G121)=1,"",IF(G121&lt;VLOOKUP(L121,FeeLookup!$J$29:$L$30,2,FALSE),"YES","NO"))</f>
        <v/>
      </c>
      <c r="P121" s="14" t="str">
        <f>IF(COUNTBLANK(G121)=1,"",IF(G121&gt;VLOOKUP(L121,FeeLookup!$J$29:$L$30,3,FALSE),"YES","NO"))</f>
        <v/>
      </c>
      <c r="Q121" s="14" t="str">
        <f t="shared" si="9"/>
        <v/>
      </c>
    </row>
    <row r="122" spans="1:17" s="344" customFormat="1" x14ac:dyDescent="0.25">
      <c r="A122" s="71">
        <v>105</v>
      </c>
      <c r="B122" s="18"/>
      <c r="C122" s="18"/>
      <c r="D122" s="18"/>
      <c r="E122" s="18"/>
      <c r="F122" s="497"/>
      <c r="G122" s="497"/>
      <c r="H122" s="413">
        <v>2</v>
      </c>
      <c r="I122" s="414">
        <v>105</v>
      </c>
      <c r="J122" s="74"/>
      <c r="K122" s="12" t="str">
        <f t="shared" si="5"/>
        <v>TEF</v>
      </c>
      <c r="L122" s="12" t="str">
        <f t="shared" si="6"/>
        <v>PART_TEF_</v>
      </c>
      <c r="M122" s="12" t="str">
        <f t="shared" si="7"/>
        <v>NO</v>
      </c>
      <c r="N122" s="14" t="str">
        <f t="shared" si="8"/>
        <v/>
      </c>
      <c r="O122" s="14" t="str">
        <f>IF(COUNTBLANK(G122)=1,"",IF(G122&lt;VLOOKUP(L122,FeeLookup!$J$29:$L$30,2,FALSE),"YES","NO"))</f>
        <v/>
      </c>
      <c r="P122" s="14" t="str">
        <f>IF(COUNTBLANK(G122)=1,"",IF(G122&gt;VLOOKUP(L122,FeeLookup!$J$29:$L$30,3,FALSE),"YES","NO"))</f>
        <v/>
      </c>
      <c r="Q122" s="14" t="str">
        <f t="shared" si="9"/>
        <v/>
      </c>
    </row>
    <row r="123" spans="1:17" s="344" customFormat="1" x14ac:dyDescent="0.25">
      <c r="A123" s="71">
        <v>106</v>
      </c>
      <c r="B123" s="18"/>
      <c r="C123" s="18"/>
      <c r="D123" s="18"/>
      <c r="E123" s="18"/>
      <c r="F123" s="497"/>
      <c r="G123" s="497"/>
      <c r="H123" s="413">
        <v>2</v>
      </c>
      <c r="I123" s="414">
        <v>106</v>
      </c>
      <c r="J123" s="74"/>
      <c r="K123" s="12" t="str">
        <f t="shared" si="5"/>
        <v>TEF</v>
      </c>
      <c r="L123" s="12" t="str">
        <f t="shared" si="6"/>
        <v>PART_TEF_</v>
      </c>
      <c r="M123" s="12" t="str">
        <f t="shared" si="7"/>
        <v>NO</v>
      </c>
      <c r="N123" s="14" t="str">
        <f t="shared" si="8"/>
        <v/>
      </c>
      <c r="O123" s="14" t="str">
        <f>IF(COUNTBLANK(G123)=1,"",IF(G123&lt;VLOOKUP(L123,FeeLookup!$J$29:$L$30,2,FALSE),"YES","NO"))</f>
        <v/>
      </c>
      <c r="P123" s="14" t="str">
        <f>IF(COUNTBLANK(G123)=1,"",IF(G123&gt;VLOOKUP(L123,FeeLookup!$J$29:$L$30,3,FALSE),"YES","NO"))</f>
        <v/>
      </c>
      <c r="Q123" s="14" t="str">
        <f t="shared" si="9"/>
        <v/>
      </c>
    </row>
    <row r="124" spans="1:17" s="344" customFormat="1" x14ac:dyDescent="0.25">
      <c r="A124" s="71">
        <v>107</v>
      </c>
      <c r="B124" s="18"/>
      <c r="C124" s="18"/>
      <c r="D124" s="18"/>
      <c r="E124" s="18"/>
      <c r="F124" s="497"/>
      <c r="G124" s="497"/>
      <c r="H124" s="413">
        <v>2</v>
      </c>
      <c r="I124" s="414">
        <v>107</v>
      </c>
      <c r="J124" s="74"/>
      <c r="K124" s="12" t="str">
        <f t="shared" si="5"/>
        <v>TEF</v>
      </c>
      <c r="L124" s="12" t="str">
        <f t="shared" si="6"/>
        <v>PART_TEF_</v>
      </c>
      <c r="M124" s="12" t="str">
        <f t="shared" si="7"/>
        <v>NO</v>
      </c>
      <c r="N124" s="14" t="str">
        <f t="shared" si="8"/>
        <v/>
      </c>
      <c r="O124" s="14" t="str">
        <f>IF(COUNTBLANK(G124)=1,"",IF(G124&lt;VLOOKUP(L124,FeeLookup!$J$29:$L$30,2,FALSE),"YES","NO"))</f>
        <v/>
      </c>
      <c r="P124" s="14" t="str">
        <f>IF(COUNTBLANK(G124)=1,"",IF(G124&gt;VLOOKUP(L124,FeeLookup!$J$29:$L$30,3,FALSE),"YES","NO"))</f>
        <v/>
      </c>
      <c r="Q124" s="14" t="str">
        <f t="shared" si="9"/>
        <v/>
      </c>
    </row>
    <row r="125" spans="1:17" s="344" customFormat="1" x14ac:dyDescent="0.25">
      <c r="A125" s="71">
        <v>108</v>
      </c>
      <c r="B125" s="18"/>
      <c r="C125" s="18"/>
      <c r="D125" s="18"/>
      <c r="E125" s="18"/>
      <c r="F125" s="497"/>
      <c r="G125" s="497"/>
      <c r="H125" s="413">
        <v>2</v>
      </c>
      <c r="I125" s="414">
        <v>108</v>
      </c>
      <c r="J125" s="74"/>
      <c r="K125" s="12" t="str">
        <f t="shared" si="5"/>
        <v>TEF</v>
      </c>
      <c r="L125" s="12" t="str">
        <f t="shared" si="6"/>
        <v>PART_TEF_</v>
      </c>
      <c r="M125" s="12" t="str">
        <f t="shared" si="7"/>
        <v>NO</v>
      </c>
      <c r="N125" s="14" t="str">
        <f t="shared" si="8"/>
        <v/>
      </c>
      <c r="O125" s="14" t="str">
        <f>IF(COUNTBLANK(G125)=1,"",IF(G125&lt;VLOOKUP(L125,FeeLookup!$J$29:$L$30,2,FALSE),"YES","NO"))</f>
        <v/>
      </c>
      <c r="P125" s="14" t="str">
        <f>IF(COUNTBLANK(G125)=1,"",IF(G125&gt;VLOOKUP(L125,FeeLookup!$J$29:$L$30,3,FALSE),"YES","NO"))</f>
        <v/>
      </c>
      <c r="Q125" s="14" t="str">
        <f t="shared" si="9"/>
        <v/>
      </c>
    </row>
    <row r="126" spans="1:17" s="344" customFormat="1" x14ac:dyDescent="0.25">
      <c r="A126" s="71">
        <v>109</v>
      </c>
      <c r="B126" s="18"/>
      <c r="C126" s="18"/>
      <c r="D126" s="18"/>
      <c r="E126" s="18"/>
      <c r="F126" s="497"/>
      <c r="G126" s="497"/>
      <c r="H126" s="413">
        <v>2</v>
      </c>
      <c r="I126" s="414">
        <v>109</v>
      </c>
      <c r="J126" s="74"/>
      <c r="K126" s="12" t="str">
        <f t="shared" si="5"/>
        <v>TEF</v>
      </c>
      <c r="L126" s="12" t="str">
        <f t="shared" si="6"/>
        <v>PART_TEF_</v>
      </c>
      <c r="M126" s="12" t="str">
        <f t="shared" si="7"/>
        <v>NO</v>
      </c>
      <c r="N126" s="14" t="str">
        <f t="shared" si="8"/>
        <v/>
      </c>
      <c r="O126" s="14" t="str">
        <f>IF(COUNTBLANK(G126)=1,"",IF(G126&lt;VLOOKUP(L126,FeeLookup!$J$29:$L$30,2,FALSE),"YES","NO"))</f>
        <v/>
      </c>
      <c r="P126" s="14" t="str">
        <f>IF(COUNTBLANK(G126)=1,"",IF(G126&gt;VLOOKUP(L126,FeeLookup!$J$29:$L$30,3,FALSE),"YES","NO"))</f>
        <v/>
      </c>
      <c r="Q126" s="14" t="str">
        <f t="shared" si="9"/>
        <v/>
      </c>
    </row>
    <row r="127" spans="1:17" s="344" customFormat="1" x14ac:dyDescent="0.25">
      <c r="A127" s="71">
        <v>110</v>
      </c>
      <c r="B127" s="18"/>
      <c r="C127" s="18"/>
      <c r="D127" s="18"/>
      <c r="E127" s="18"/>
      <c r="F127" s="497"/>
      <c r="G127" s="497"/>
      <c r="H127" s="413">
        <v>2</v>
      </c>
      <c r="I127" s="414">
        <v>110</v>
      </c>
      <c r="J127" s="74"/>
      <c r="K127" s="12" t="str">
        <f t="shared" si="5"/>
        <v>TEF</v>
      </c>
      <c r="L127" s="12" t="str">
        <f t="shared" si="6"/>
        <v>PART_TEF_</v>
      </c>
      <c r="M127" s="12" t="str">
        <f t="shared" si="7"/>
        <v>NO</v>
      </c>
      <c r="N127" s="14" t="str">
        <f t="shared" si="8"/>
        <v/>
      </c>
      <c r="O127" s="14" t="str">
        <f>IF(COUNTBLANK(G127)=1,"",IF(G127&lt;VLOOKUP(L127,FeeLookup!$J$29:$L$30,2,FALSE),"YES","NO"))</f>
        <v/>
      </c>
      <c r="P127" s="14" t="str">
        <f>IF(COUNTBLANK(G127)=1,"",IF(G127&gt;VLOOKUP(L127,FeeLookup!$J$29:$L$30,3,FALSE),"YES","NO"))</f>
        <v/>
      </c>
      <c r="Q127" s="14" t="str">
        <f t="shared" si="9"/>
        <v/>
      </c>
    </row>
    <row r="128" spans="1:17" s="344" customFormat="1" x14ac:dyDescent="0.25">
      <c r="A128" s="71">
        <v>111</v>
      </c>
      <c r="B128" s="18"/>
      <c r="C128" s="18"/>
      <c r="D128" s="18"/>
      <c r="E128" s="18"/>
      <c r="F128" s="497"/>
      <c r="G128" s="497"/>
      <c r="H128" s="413">
        <v>2</v>
      </c>
      <c r="I128" s="414">
        <v>111</v>
      </c>
      <c r="J128" s="74"/>
      <c r="K128" s="12" t="str">
        <f t="shared" si="5"/>
        <v>TEF</v>
      </c>
      <c r="L128" s="12" t="str">
        <f t="shared" si="6"/>
        <v>PART_TEF_</v>
      </c>
      <c r="M128" s="12" t="str">
        <f t="shared" si="7"/>
        <v>NO</v>
      </c>
      <c r="N128" s="14" t="str">
        <f t="shared" si="8"/>
        <v/>
      </c>
      <c r="O128" s="14" t="str">
        <f>IF(COUNTBLANK(G128)=1,"",IF(G128&lt;VLOOKUP(L128,FeeLookup!$J$29:$L$30,2,FALSE),"YES","NO"))</f>
        <v/>
      </c>
      <c r="P128" s="14" t="str">
        <f>IF(COUNTBLANK(G128)=1,"",IF(G128&gt;VLOOKUP(L128,FeeLookup!$J$29:$L$30,3,FALSE),"YES","NO"))</f>
        <v/>
      </c>
      <c r="Q128" s="14" t="str">
        <f t="shared" si="9"/>
        <v/>
      </c>
    </row>
    <row r="129" spans="1:17" s="344" customFormat="1" x14ac:dyDescent="0.25">
      <c r="A129" s="71">
        <v>112</v>
      </c>
      <c r="B129" s="18"/>
      <c r="C129" s="18"/>
      <c r="D129" s="18"/>
      <c r="E129" s="18"/>
      <c r="F129" s="497"/>
      <c r="G129" s="497"/>
      <c r="H129" s="413">
        <v>2</v>
      </c>
      <c r="I129" s="414">
        <v>112</v>
      </c>
      <c r="J129" s="74"/>
      <c r="K129" s="12" t="str">
        <f t="shared" si="5"/>
        <v>TEF</v>
      </c>
      <c r="L129" s="12" t="str">
        <f t="shared" si="6"/>
        <v>PART_TEF_</v>
      </c>
      <c r="M129" s="12" t="str">
        <f t="shared" si="7"/>
        <v>NO</v>
      </c>
      <c r="N129" s="14" t="str">
        <f t="shared" si="8"/>
        <v/>
      </c>
      <c r="O129" s="14" t="str">
        <f>IF(COUNTBLANK(G129)=1,"",IF(G129&lt;VLOOKUP(L129,FeeLookup!$J$29:$L$30,2,FALSE),"YES","NO"))</f>
        <v/>
      </c>
      <c r="P129" s="14" t="str">
        <f>IF(COUNTBLANK(G129)=1,"",IF(G129&gt;VLOOKUP(L129,FeeLookup!$J$29:$L$30,3,FALSE),"YES","NO"))</f>
        <v/>
      </c>
      <c r="Q129" s="14" t="str">
        <f t="shared" si="9"/>
        <v/>
      </c>
    </row>
    <row r="130" spans="1:17" s="344" customFormat="1" x14ac:dyDescent="0.25">
      <c r="A130" s="71">
        <v>113</v>
      </c>
      <c r="B130" s="18"/>
      <c r="C130" s="18"/>
      <c r="D130" s="18"/>
      <c r="E130" s="18"/>
      <c r="F130" s="497"/>
      <c r="G130" s="497"/>
      <c r="H130" s="413">
        <v>2</v>
      </c>
      <c r="I130" s="414">
        <v>113</v>
      </c>
      <c r="J130" s="74"/>
      <c r="K130" s="12" t="str">
        <f t="shared" si="5"/>
        <v>TEF</v>
      </c>
      <c r="L130" s="12" t="str">
        <f t="shared" si="6"/>
        <v>PART_TEF_</v>
      </c>
      <c r="M130" s="12" t="str">
        <f t="shared" si="7"/>
        <v>NO</v>
      </c>
      <c r="N130" s="14" t="str">
        <f t="shared" si="8"/>
        <v/>
      </c>
      <c r="O130" s="14" t="str">
        <f>IF(COUNTBLANK(G130)=1,"",IF(G130&lt;VLOOKUP(L130,FeeLookup!$J$29:$L$30,2,FALSE),"YES","NO"))</f>
        <v/>
      </c>
      <c r="P130" s="14" t="str">
        <f>IF(COUNTBLANK(G130)=1,"",IF(G130&gt;VLOOKUP(L130,FeeLookup!$J$29:$L$30,3,FALSE),"YES","NO"))</f>
        <v/>
      </c>
      <c r="Q130" s="14" t="str">
        <f t="shared" si="9"/>
        <v/>
      </c>
    </row>
    <row r="131" spans="1:17" s="344" customFormat="1" x14ac:dyDescent="0.25">
      <c r="A131" s="71">
        <v>114</v>
      </c>
      <c r="B131" s="18"/>
      <c r="C131" s="18"/>
      <c r="D131" s="18"/>
      <c r="E131" s="18"/>
      <c r="F131" s="497"/>
      <c r="G131" s="497"/>
      <c r="H131" s="413">
        <v>2</v>
      </c>
      <c r="I131" s="414">
        <v>114</v>
      </c>
      <c r="J131" s="74"/>
      <c r="K131" s="12" t="str">
        <f t="shared" si="5"/>
        <v>TEF</v>
      </c>
      <c r="L131" s="12" t="str">
        <f t="shared" si="6"/>
        <v>PART_TEF_</v>
      </c>
      <c r="M131" s="12" t="str">
        <f t="shared" si="7"/>
        <v>NO</v>
      </c>
      <c r="N131" s="14" t="str">
        <f t="shared" si="8"/>
        <v/>
      </c>
      <c r="O131" s="14" t="str">
        <f>IF(COUNTBLANK(G131)=1,"",IF(G131&lt;VLOOKUP(L131,FeeLookup!$J$29:$L$30,2,FALSE),"YES","NO"))</f>
        <v/>
      </c>
      <c r="P131" s="14" t="str">
        <f>IF(COUNTBLANK(G131)=1,"",IF(G131&gt;VLOOKUP(L131,FeeLookup!$J$29:$L$30,3,FALSE),"YES","NO"))</f>
        <v/>
      </c>
      <c r="Q131" s="14" t="str">
        <f t="shared" si="9"/>
        <v/>
      </c>
    </row>
    <row r="132" spans="1:17" s="344" customFormat="1" x14ac:dyDescent="0.25">
      <c r="A132" s="71">
        <v>115</v>
      </c>
      <c r="B132" s="18"/>
      <c r="C132" s="18"/>
      <c r="D132" s="18"/>
      <c r="E132" s="18"/>
      <c r="F132" s="497"/>
      <c r="G132" s="497"/>
      <c r="H132" s="413">
        <v>2</v>
      </c>
      <c r="I132" s="414">
        <v>115</v>
      </c>
      <c r="J132" s="74"/>
      <c r="K132" s="12" t="str">
        <f t="shared" si="5"/>
        <v>TEF</v>
      </c>
      <c r="L132" s="12" t="str">
        <f t="shared" si="6"/>
        <v>PART_TEF_</v>
      </c>
      <c r="M132" s="12" t="str">
        <f t="shared" si="7"/>
        <v>NO</v>
      </c>
      <c r="N132" s="14" t="str">
        <f t="shared" si="8"/>
        <v/>
      </c>
      <c r="O132" s="14" t="str">
        <f>IF(COUNTBLANK(G132)=1,"",IF(G132&lt;VLOOKUP(L132,FeeLookup!$J$29:$L$30,2,FALSE),"YES","NO"))</f>
        <v/>
      </c>
      <c r="P132" s="14" t="str">
        <f>IF(COUNTBLANK(G132)=1,"",IF(G132&gt;VLOOKUP(L132,FeeLookup!$J$29:$L$30,3,FALSE),"YES","NO"))</f>
        <v/>
      </c>
      <c r="Q132" s="14" t="str">
        <f t="shared" si="9"/>
        <v/>
      </c>
    </row>
    <row r="133" spans="1:17" s="344" customFormat="1" x14ac:dyDescent="0.25">
      <c r="A133" s="71">
        <v>116</v>
      </c>
      <c r="B133" s="18"/>
      <c r="C133" s="18"/>
      <c r="D133" s="18"/>
      <c r="E133" s="18"/>
      <c r="F133" s="497"/>
      <c r="G133" s="497"/>
      <c r="H133" s="413">
        <v>2</v>
      </c>
      <c r="I133" s="414">
        <v>116</v>
      </c>
      <c r="J133" s="74"/>
      <c r="K133" s="12" t="str">
        <f t="shared" si="5"/>
        <v>TEF</v>
      </c>
      <c r="L133" s="12" t="str">
        <f t="shared" si="6"/>
        <v>PART_TEF_</v>
      </c>
      <c r="M133" s="12" t="str">
        <f t="shared" si="7"/>
        <v>NO</v>
      </c>
      <c r="N133" s="14" t="str">
        <f t="shared" si="8"/>
        <v/>
      </c>
      <c r="O133" s="14" t="str">
        <f>IF(COUNTBLANK(G133)=1,"",IF(G133&lt;VLOOKUP(L133,FeeLookup!$J$29:$L$30,2,FALSE),"YES","NO"))</f>
        <v/>
      </c>
      <c r="P133" s="14" t="str">
        <f>IF(COUNTBLANK(G133)=1,"",IF(G133&gt;VLOOKUP(L133,FeeLookup!$J$29:$L$30,3,FALSE),"YES","NO"))</f>
        <v/>
      </c>
      <c r="Q133" s="14" t="str">
        <f t="shared" si="9"/>
        <v/>
      </c>
    </row>
    <row r="134" spans="1:17" s="344" customFormat="1" x14ac:dyDescent="0.25">
      <c r="A134" s="71">
        <v>117</v>
      </c>
      <c r="B134" s="18"/>
      <c r="C134" s="18"/>
      <c r="D134" s="18"/>
      <c r="E134" s="18"/>
      <c r="F134" s="497"/>
      <c r="G134" s="497"/>
      <c r="H134" s="413">
        <v>2</v>
      </c>
      <c r="I134" s="414">
        <v>117</v>
      </c>
      <c r="J134" s="74"/>
      <c r="K134" s="12" t="str">
        <f t="shared" si="5"/>
        <v>TEF</v>
      </c>
      <c r="L134" s="12" t="str">
        <f t="shared" si="6"/>
        <v>PART_TEF_</v>
      </c>
      <c r="M134" s="12" t="str">
        <f t="shared" si="7"/>
        <v>NO</v>
      </c>
      <c r="N134" s="14" t="str">
        <f t="shared" si="8"/>
        <v/>
      </c>
      <c r="O134" s="14" t="str">
        <f>IF(COUNTBLANK(G134)=1,"",IF(G134&lt;VLOOKUP(L134,FeeLookup!$J$29:$L$30,2,FALSE),"YES","NO"))</f>
        <v/>
      </c>
      <c r="P134" s="14" t="str">
        <f>IF(COUNTBLANK(G134)=1,"",IF(G134&gt;VLOOKUP(L134,FeeLookup!$J$29:$L$30,3,FALSE),"YES","NO"))</f>
        <v/>
      </c>
      <c r="Q134" s="14" t="str">
        <f t="shared" si="9"/>
        <v/>
      </c>
    </row>
    <row r="135" spans="1:17" s="344" customFormat="1" x14ac:dyDescent="0.25">
      <c r="A135" s="71">
        <v>118</v>
      </c>
      <c r="B135" s="18"/>
      <c r="C135" s="18"/>
      <c r="D135" s="18"/>
      <c r="E135" s="18"/>
      <c r="F135" s="497"/>
      <c r="G135" s="497"/>
      <c r="H135" s="413">
        <v>2</v>
      </c>
      <c r="I135" s="414">
        <v>118</v>
      </c>
      <c r="J135" s="74"/>
      <c r="K135" s="12" t="str">
        <f t="shared" si="5"/>
        <v>TEF</v>
      </c>
      <c r="L135" s="12" t="str">
        <f t="shared" si="6"/>
        <v>PART_TEF_</v>
      </c>
      <c r="M135" s="12" t="str">
        <f t="shared" si="7"/>
        <v>NO</v>
      </c>
      <c r="N135" s="14" t="str">
        <f t="shared" si="8"/>
        <v/>
      </c>
      <c r="O135" s="14" t="str">
        <f>IF(COUNTBLANK(G135)=1,"",IF(G135&lt;VLOOKUP(L135,FeeLookup!$J$29:$L$30,2,FALSE),"YES","NO"))</f>
        <v/>
      </c>
      <c r="P135" s="14" t="str">
        <f>IF(COUNTBLANK(G135)=1,"",IF(G135&gt;VLOOKUP(L135,FeeLookup!$J$29:$L$30,3,FALSE),"YES","NO"))</f>
        <v/>
      </c>
      <c r="Q135" s="14" t="str">
        <f t="shared" si="9"/>
        <v/>
      </c>
    </row>
    <row r="136" spans="1:17" s="344" customFormat="1" x14ac:dyDescent="0.25">
      <c r="A136" s="71">
        <v>119</v>
      </c>
      <c r="B136" s="18"/>
      <c r="C136" s="18"/>
      <c r="D136" s="18"/>
      <c r="E136" s="18"/>
      <c r="F136" s="497"/>
      <c r="G136" s="497"/>
      <c r="H136" s="413">
        <v>2</v>
      </c>
      <c r="I136" s="414">
        <v>119</v>
      </c>
      <c r="J136" s="74"/>
      <c r="K136" s="12" t="str">
        <f t="shared" si="5"/>
        <v>TEF</v>
      </c>
      <c r="L136" s="12" t="str">
        <f t="shared" si="6"/>
        <v>PART_TEF_</v>
      </c>
      <c r="M136" s="12" t="str">
        <f t="shared" si="7"/>
        <v>NO</v>
      </c>
      <c r="N136" s="14" t="str">
        <f t="shared" si="8"/>
        <v/>
      </c>
      <c r="O136" s="14" t="str">
        <f>IF(COUNTBLANK(G136)=1,"",IF(G136&lt;VLOOKUP(L136,FeeLookup!$J$29:$L$30,2,FALSE),"YES","NO"))</f>
        <v/>
      </c>
      <c r="P136" s="14" t="str">
        <f>IF(COUNTBLANK(G136)=1,"",IF(G136&gt;VLOOKUP(L136,FeeLookup!$J$29:$L$30,3,FALSE),"YES","NO"))</f>
        <v/>
      </c>
      <c r="Q136" s="14" t="str">
        <f t="shared" si="9"/>
        <v/>
      </c>
    </row>
    <row r="137" spans="1:17" s="344" customFormat="1" x14ac:dyDescent="0.25">
      <c r="A137" s="71">
        <v>120</v>
      </c>
      <c r="B137" s="18"/>
      <c r="C137" s="18"/>
      <c r="D137" s="18"/>
      <c r="E137" s="18"/>
      <c r="F137" s="497"/>
      <c r="G137" s="497"/>
      <c r="H137" s="413">
        <v>2</v>
      </c>
      <c r="I137" s="414">
        <v>120</v>
      </c>
      <c r="J137" s="74"/>
      <c r="K137" s="12" t="str">
        <f t="shared" si="5"/>
        <v>TEF</v>
      </c>
      <c r="L137" s="12" t="str">
        <f t="shared" si="6"/>
        <v>PART_TEF_</v>
      </c>
      <c r="M137" s="12" t="str">
        <f t="shared" si="7"/>
        <v>NO</v>
      </c>
      <c r="N137" s="14" t="str">
        <f t="shared" si="8"/>
        <v/>
      </c>
      <c r="O137" s="14" t="str">
        <f>IF(COUNTBLANK(G137)=1,"",IF(G137&lt;VLOOKUP(L137,FeeLookup!$J$29:$L$30,2,FALSE),"YES","NO"))</f>
        <v/>
      </c>
      <c r="P137" s="14" t="str">
        <f>IF(COUNTBLANK(G137)=1,"",IF(G137&gt;VLOOKUP(L137,FeeLookup!$J$29:$L$30,3,FALSE),"YES","NO"))</f>
        <v/>
      </c>
      <c r="Q137" s="14" t="str">
        <f t="shared" si="9"/>
        <v/>
      </c>
    </row>
    <row r="138" spans="1:17" s="344" customFormat="1" x14ac:dyDescent="0.25">
      <c r="A138" s="71">
        <v>121</v>
      </c>
      <c r="B138" s="18"/>
      <c r="C138" s="18"/>
      <c r="D138" s="18"/>
      <c r="E138" s="18"/>
      <c r="F138" s="497"/>
      <c r="G138" s="497"/>
      <c r="H138" s="413">
        <v>2</v>
      </c>
      <c r="I138" s="414">
        <v>121</v>
      </c>
      <c r="J138" s="74"/>
      <c r="K138" s="12" t="str">
        <f t="shared" si="5"/>
        <v>TEF</v>
      </c>
      <c r="L138" s="12" t="str">
        <f t="shared" si="6"/>
        <v>PART_TEF_</v>
      </c>
      <c r="M138" s="12" t="str">
        <f t="shared" si="7"/>
        <v>NO</v>
      </c>
      <c r="N138" s="14" t="str">
        <f t="shared" si="8"/>
        <v/>
      </c>
      <c r="O138" s="14" t="str">
        <f>IF(COUNTBLANK(G138)=1,"",IF(G138&lt;VLOOKUP(L138,FeeLookup!$J$29:$L$30,2,FALSE),"YES","NO"))</f>
        <v/>
      </c>
      <c r="P138" s="14" t="str">
        <f>IF(COUNTBLANK(G138)=1,"",IF(G138&gt;VLOOKUP(L138,FeeLookup!$J$29:$L$30,3,FALSE),"YES","NO"))</f>
        <v/>
      </c>
      <c r="Q138" s="14" t="str">
        <f t="shared" si="9"/>
        <v/>
      </c>
    </row>
    <row r="139" spans="1:17" s="344" customFormat="1" x14ac:dyDescent="0.25">
      <c r="A139" s="71">
        <v>122</v>
      </c>
      <c r="B139" s="18"/>
      <c r="C139" s="18"/>
      <c r="D139" s="18"/>
      <c r="E139" s="18"/>
      <c r="F139" s="497"/>
      <c r="G139" s="497"/>
      <c r="H139" s="413">
        <v>2</v>
      </c>
      <c r="I139" s="414">
        <v>122</v>
      </c>
      <c r="J139" s="74"/>
      <c r="K139" s="12" t="str">
        <f t="shared" si="5"/>
        <v>TEF</v>
      </c>
      <c r="L139" s="12" t="str">
        <f t="shared" si="6"/>
        <v>PART_TEF_</v>
      </c>
      <c r="M139" s="12" t="str">
        <f t="shared" si="7"/>
        <v>NO</v>
      </c>
      <c r="N139" s="14" t="str">
        <f t="shared" si="8"/>
        <v/>
      </c>
      <c r="O139" s="14" t="str">
        <f>IF(COUNTBLANK(G139)=1,"",IF(G139&lt;VLOOKUP(L139,FeeLookup!$J$29:$L$30,2,FALSE),"YES","NO"))</f>
        <v/>
      </c>
      <c r="P139" s="14" t="str">
        <f>IF(COUNTBLANK(G139)=1,"",IF(G139&gt;VLOOKUP(L139,FeeLookup!$J$29:$L$30,3,FALSE),"YES","NO"))</f>
        <v/>
      </c>
      <c r="Q139" s="14" t="str">
        <f t="shared" si="9"/>
        <v/>
      </c>
    </row>
    <row r="140" spans="1:17" s="344" customFormat="1" x14ac:dyDescent="0.25">
      <c r="A140" s="71">
        <v>123</v>
      </c>
      <c r="B140" s="18"/>
      <c r="C140" s="18"/>
      <c r="D140" s="18"/>
      <c r="E140" s="18"/>
      <c r="F140" s="497"/>
      <c r="G140" s="497"/>
      <c r="H140" s="413">
        <v>2</v>
      </c>
      <c r="I140" s="414">
        <v>123</v>
      </c>
      <c r="J140" s="74"/>
      <c r="K140" s="12" t="str">
        <f t="shared" si="5"/>
        <v>TEF</v>
      </c>
      <c r="L140" s="12" t="str">
        <f t="shared" si="6"/>
        <v>PART_TEF_</v>
      </c>
      <c r="M140" s="12" t="str">
        <f t="shared" si="7"/>
        <v>NO</v>
      </c>
      <c r="N140" s="14" t="str">
        <f t="shared" si="8"/>
        <v/>
      </c>
      <c r="O140" s="14" t="str">
        <f>IF(COUNTBLANK(G140)=1,"",IF(G140&lt;VLOOKUP(L140,FeeLookup!$J$29:$L$30,2,FALSE),"YES","NO"))</f>
        <v/>
      </c>
      <c r="P140" s="14" t="str">
        <f>IF(COUNTBLANK(G140)=1,"",IF(G140&gt;VLOOKUP(L140,FeeLookup!$J$29:$L$30,3,FALSE),"YES","NO"))</f>
        <v/>
      </c>
      <c r="Q140" s="14" t="str">
        <f t="shared" si="9"/>
        <v/>
      </c>
    </row>
    <row r="141" spans="1:17" s="344" customFormat="1" x14ac:dyDescent="0.25">
      <c r="A141" s="71">
        <v>124</v>
      </c>
      <c r="B141" s="18"/>
      <c r="C141" s="18"/>
      <c r="D141" s="18"/>
      <c r="E141" s="18"/>
      <c r="F141" s="497"/>
      <c r="G141" s="497"/>
      <c r="H141" s="413">
        <v>2</v>
      </c>
      <c r="I141" s="414">
        <v>124</v>
      </c>
      <c r="J141" s="74"/>
      <c r="K141" s="12" t="str">
        <f t="shared" si="5"/>
        <v>TEF</v>
      </c>
      <c r="L141" s="12" t="str">
        <f t="shared" si="6"/>
        <v>PART_TEF_</v>
      </c>
      <c r="M141" s="12" t="str">
        <f t="shared" si="7"/>
        <v>NO</v>
      </c>
      <c r="N141" s="14" t="str">
        <f t="shared" si="8"/>
        <v/>
      </c>
      <c r="O141" s="14" t="str">
        <f>IF(COUNTBLANK(G141)=1,"",IF(G141&lt;VLOOKUP(L141,FeeLookup!$J$29:$L$30,2,FALSE),"YES","NO"))</f>
        <v/>
      </c>
      <c r="P141" s="14" t="str">
        <f>IF(COUNTBLANK(G141)=1,"",IF(G141&gt;VLOOKUP(L141,FeeLookup!$J$29:$L$30,3,FALSE),"YES","NO"))</f>
        <v/>
      </c>
      <c r="Q141" s="14" t="str">
        <f t="shared" si="9"/>
        <v/>
      </c>
    </row>
    <row r="142" spans="1:17" s="344" customFormat="1" x14ac:dyDescent="0.25">
      <c r="A142" s="71">
        <v>125</v>
      </c>
      <c r="B142" s="18"/>
      <c r="C142" s="18"/>
      <c r="D142" s="18"/>
      <c r="E142" s="18"/>
      <c r="F142" s="497"/>
      <c r="G142" s="497"/>
      <c r="H142" s="413">
        <v>2</v>
      </c>
      <c r="I142" s="414">
        <v>125</v>
      </c>
      <c r="J142" s="74"/>
      <c r="K142" s="12" t="str">
        <f t="shared" si="5"/>
        <v>TEF</v>
      </c>
      <c r="L142" s="12" t="str">
        <f t="shared" si="6"/>
        <v>PART_TEF_</v>
      </c>
      <c r="M142" s="12" t="str">
        <f t="shared" si="7"/>
        <v>NO</v>
      </c>
      <c r="N142" s="14" t="str">
        <f t="shared" si="8"/>
        <v/>
      </c>
      <c r="O142" s="14" t="str">
        <f>IF(COUNTBLANK(G142)=1,"",IF(G142&lt;VLOOKUP(L142,FeeLookup!$J$29:$L$30,2,FALSE),"YES","NO"))</f>
        <v/>
      </c>
      <c r="P142" s="14" t="str">
        <f>IF(COUNTBLANK(G142)=1,"",IF(G142&gt;VLOOKUP(L142,FeeLookup!$J$29:$L$30,3,FALSE),"YES","NO"))</f>
        <v/>
      </c>
      <c r="Q142" s="14" t="str">
        <f t="shared" si="9"/>
        <v/>
      </c>
    </row>
    <row r="143" spans="1:17" s="344" customFormat="1" x14ac:dyDescent="0.25">
      <c r="A143" s="71">
        <v>126</v>
      </c>
      <c r="B143" s="18"/>
      <c r="C143" s="18"/>
      <c r="D143" s="18"/>
      <c r="E143" s="18"/>
      <c r="F143" s="497"/>
      <c r="G143" s="497"/>
      <c r="H143" s="413">
        <v>2</v>
      </c>
      <c r="I143" s="414">
        <v>126</v>
      </c>
      <c r="J143" s="74"/>
      <c r="K143" s="12" t="str">
        <f t="shared" si="5"/>
        <v>TEF</v>
      </c>
      <c r="L143" s="12" t="str">
        <f t="shared" si="6"/>
        <v>PART_TEF_</v>
      </c>
      <c r="M143" s="12" t="str">
        <f t="shared" si="7"/>
        <v>NO</v>
      </c>
      <c r="N143" s="14" t="str">
        <f t="shared" si="8"/>
        <v/>
      </c>
      <c r="O143" s="14" t="str">
        <f>IF(COUNTBLANK(G143)=1,"",IF(G143&lt;VLOOKUP(L143,FeeLookup!$J$29:$L$30,2,FALSE),"YES","NO"))</f>
        <v/>
      </c>
      <c r="P143" s="14" t="str">
        <f>IF(COUNTBLANK(G143)=1,"",IF(G143&gt;VLOOKUP(L143,FeeLookup!$J$29:$L$30,3,FALSE),"YES","NO"))</f>
        <v/>
      </c>
      <c r="Q143" s="14" t="str">
        <f t="shared" si="9"/>
        <v/>
      </c>
    </row>
    <row r="144" spans="1:17" s="344" customFormat="1" x14ac:dyDescent="0.25">
      <c r="A144" s="71">
        <v>127</v>
      </c>
      <c r="B144" s="18"/>
      <c r="C144" s="18"/>
      <c r="D144" s="18"/>
      <c r="E144" s="18"/>
      <c r="F144" s="497"/>
      <c r="G144" s="497"/>
      <c r="H144" s="413">
        <v>2</v>
      </c>
      <c r="I144" s="414">
        <v>127</v>
      </c>
      <c r="J144" s="74"/>
      <c r="K144" s="12" t="str">
        <f t="shared" si="5"/>
        <v>TEF</v>
      </c>
      <c r="L144" s="12" t="str">
        <f t="shared" si="6"/>
        <v>PART_TEF_</v>
      </c>
      <c r="M144" s="12" t="str">
        <f t="shared" si="7"/>
        <v>NO</v>
      </c>
      <c r="N144" s="14" t="str">
        <f t="shared" si="8"/>
        <v/>
      </c>
      <c r="O144" s="14" t="str">
        <f>IF(COUNTBLANK(G144)=1,"",IF(G144&lt;VLOOKUP(L144,FeeLookup!$J$29:$L$30,2,FALSE),"YES","NO"))</f>
        <v/>
      </c>
      <c r="P144" s="14" t="str">
        <f>IF(COUNTBLANK(G144)=1,"",IF(G144&gt;VLOOKUP(L144,FeeLookup!$J$29:$L$30,3,FALSE),"YES","NO"))</f>
        <v/>
      </c>
      <c r="Q144" s="14" t="str">
        <f t="shared" si="9"/>
        <v/>
      </c>
    </row>
    <row r="145" spans="1:17" s="344" customFormat="1" x14ac:dyDescent="0.25">
      <c r="A145" s="71">
        <v>128</v>
      </c>
      <c r="B145" s="18"/>
      <c r="C145" s="18"/>
      <c r="D145" s="18"/>
      <c r="E145" s="18"/>
      <c r="F145" s="497"/>
      <c r="G145" s="497"/>
      <c r="H145" s="413">
        <v>2</v>
      </c>
      <c r="I145" s="414">
        <v>128</v>
      </c>
      <c r="J145" s="74"/>
      <c r="K145" s="12" t="str">
        <f t="shared" si="5"/>
        <v>TEF</v>
      </c>
      <c r="L145" s="12" t="str">
        <f t="shared" si="6"/>
        <v>PART_TEF_</v>
      </c>
      <c r="M145" s="12" t="str">
        <f t="shared" si="7"/>
        <v>NO</v>
      </c>
      <c r="N145" s="14" t="str">
        <f t="shared" si="8"/>
        <v/>
      </c>
      <c r="O145" s="14" t="str">
        <f>IF(COUNTBLANK(G145)=1,"",IF(G145&lt;VLOOKUP(L145,FeeLookup!$J$29:$L$30,2,FALSE),"YES","NO"))</f>
        <v/>
      </c>
      <c r="P145" s="14" t="str">
        <f>IF(COUNTBLANK(G145)=1,"",IF(G145&gt;VLOOKUP(L145,FeeLookup!$J$29:$L$30,3,FALSE),"YES","NO"))</f>
        <v/>
      </c>
      <c r="Q145" s="14" t="str">
        <f t="shared" si="9"/>
        <v/>
      </c>
    </row>
    <row r="146" spans="1:17" s="344" customFormat="1" x14ac:dyDescent="0.25">
      <c r="A146" s="71">
        <v>129</v>
      </c>
      <c r="B146" s="18"/>
      <c r="C146" s="18"/>
      <c r="D146" s="18"/>
      <c r="E146" s="18"/>
      <c r="F146" s="497"/>
      <c r="G146" s="497"/>
      <c r="H146" s="413">
        <v>2</v>
      </c>
      <c r="I146" s="414">
        <v>129</v>
      </c>
      <c r="J146" s="74"/>
      <c r="K146" s="12" t="str">
        <f t="shared" si="5"/>
        <v>TEF</v>
      </c>
      <c r="L146" s="12" t="str">
        <f t="shared" si="6"/>
        <v>PART_TEF_</v>
      </c>
      <c r="M146" s="12" t="str">
        <f t="shared" si="7"/>
        <v>NO</v>
      </c>
      <c r="N146" s="14" t="str">
        <f t="shared" si="8"/>
        <v/>
      </c>
      <c r="O146" s="14" t="str">
        <f>IF(COUNTBLANK(G146)=1,"",IF(G146&lt;VLOOKUP(L146,FeeLookup!$J$29:$L$30,2,FALSE),"YES","NO"))</f>
        <v/>
      </c>
      <c r="P146" s="14" t="str">
        <f>IF(COUNTBLANK(G146)=1,"",IF(G146&gt;VLOOKUP(L146,FeeLookup!$J$29:$L$30,3,FALSE),"YES","NO"))</f>
        <v/>
      </c>
      <c r="Q146" s="14" t="str">
        <f t="shared" si="9"/>
        <v/>
      </c>
    </row>
    <row r="147" spans="1:17" s="344" customFormat="1" x14ac:dyDescent="0.25">
      <c r="A147" s="71">
        <v>130</v>
      </c>
      <c r="B147" s="18"/>
      <c r="C147" s="18"/>
      <c r="D147" s="18"/>
      <c r="E147" s="18"/>
      <c r="F147" s="497"/>
      <c r="G147" s="497"/>
      <c r="H147" s="413">
        <v>2</v>
      </c>
      <c r="I147" s="414">
        <v>130</v>
      </c>
      <c r="J147" s="74"/>
      <c r="K147" s="12" t="str">
        <f t="shared" ref="K147:K167" si="10">IF($A$4="Expected TEF year 3 status: We hold or have applied for a TEF award for 2019-20.","TEF","No TEF")</f>
        <v>TEF</v>
      </c>
      <c r="L147" s="12" t="str">
        <f t="shared" ref="L147:L167" si="11">IF(K147="","",CONCATENATE("PART_",IF(K147="No TEF","NO_TEF_","TEF_")))</f>
        <v>PART_TEF_</v>
      </c>
      <c r="M147" s="12" t="str">
        <f t="shared" ref="M147:M167" si="12">IF(COUNTBLANK($B147:$G147)=6,"NO","YES")</f>
        <v>NO</v>
      </c>
      <c r="N147" s="14" t="str">
        <f t="shared" ref="N147:N167" si="13">IF($M147="NO","",IF(AND((COUNTBLANK($B147)+COUNTBLANK($F147:$G147))=0,COUNTBLANK(E147)=0),"YES","NO"))</f>
        <v/>
      </c>
      <c r="O147" s="14" t="str">
        <f>IF(COUNTBLANK(G147)=1,"",IF(G147&lt;VLOOKUP(L147,FeeLookup!$J$29:$L$30,2,FALSE),"YES","NO"))</f>
        <v/>
      </c>
      <c r="P147" s="14" t="str">
        <f>IF(COUNTBLANK(G147)=1,"",IF(G147&gt;VLOOKUP(L147,FeeLookup!$J$29:$L$30,3,FALSE),"YES","NO"))</f>
        <v/>
      </c>
      <c r="Q147" s="14" t="str">
        <f t="shared" ref="Q147:Q167" si="14">IF(OR(N147="NO",P147="YES"),"FLAG","")</f>
        <v/>
      </c>
    </row>
    <row r="148" spans="1:17" s="344" customFormat="1" x14ac:dyDescent="0.25">
      <c r="A148" s="71">
        <v>131</v>
      </c>
      <c r="B148" s="18"/>
      <c r="C148" s="18"/>
      <c r="D148" s="18"/>
      <c r="E148" s="18"/>
      <c r="F148" s="497"/>
      <c r="G148" s="497"/>
      <c r="H148" s="413">
        <v>2</v>
      </c>
      <c r="I148" s="414">
        <v>131</v>
      </c>
      <c r="J148" s="74"/>
      <c r="K148" s="12" t="str">
        <f t="shared" si="10"/>
        <v>TEF</v>
      </c>
      <c r="L148" s="12" t="str">
        <f t="shared" si="11"/>
        <v>PART_TEF_</v>
      </c>
      <c r="M148" s="12" t="str">
        <f t="shared" si="12"/>
        <v>NO</v>
      </c>
      <c r="N148" s="14" t="str">
        <f t="shared" si="13"/>
        <v/>
      </c>
      <c r="O148" s="14" t="str">
        <f>IF(COUNTBLANK(G148)=1,"",IF(G148&lt;VLOOKUP(L148,FeeLookup!$J$29:$L$30,2,FALSE),"YES","NO"))</f>
        <v/>
      </c>
      <c r="P148" s="14" t="str">
        <f>IF(COUNTBLANK(G148)=1,"",IF(G148&gt;VLOOKUP(L148,FeeLookup!$J$29:$L$30,3,FALSE),"YES","NO"))</f>
        <v/>
      </c>
      <c r="Q148" s="14" t="str">
        <f t="shared" si="14"/>
        <v/>
      </c>
    </row>
    <row r="149" spans="1:17" s="344" customFormat="1" x14ac:dyDescent="0.25">
      <c r="A149" s="71">
        <v>132</v>
      </c>
      <c r="B149" s="18"/>
      <c r="C149" s="18"/>
      <c r="D149" s="18"/>
      <c r="E149" s="18"/>
      <c r="F149" s="497"/>
      <c r="G149" s="497"/>
      <c r="H149" s="413">
        <v>2</v>
      </c>
      <c r="I149" s="414">
        <v>132</v>
      </c>
      <c r="J149" s="74"/>
      <c r="K149" s="12" t="str">
        <f t="shared" si="10"/>
        <v>TEF</v>
      </c>
      <c r="L149" s="12" t="str">
        <f t="shared" si="11"/>
        <v>PART_TEF_</v>
      </c>
      <c r="M149" s="12" t="str">
        <f t="shared" si="12"/>
        <v>NO</v>
      </c>
      <c r="N149" s="14" t="str">
        <f t="shared" si="13"/>
        <v/>
      </c>
      <c r="O149" s="14" t="str">
        <f>IF(COUNTBLANK(G149)=1,"",IF(G149&lt;VLOOKUP(L149,FeeLookup!$J$29:$L$30,2,FALSE),"YES","NO"))</f>
        <v/>
      </c>
      <c r="P149" s="14" t="str">
        <f>IF(COUNTBLANK(G149)=1,"",IF(G149&gt;VLOOKUP(L149,FeeLookup!$J$29:$L$30,3,FALSE),"YES","NO"))</f>
        <v/>
      </c>
      <c r="Q149" s="14" t="str">
        <f t="shared" si="14"/>
        <v/>
      </c>
    </row>
    <row r="150" spans="1:17" s="344" customFormat="1" x14ac:dyDescent="0.25">
      <c r="A150" s="71">
        <v>133</v>
      </c>
      <c r="B150" s="18"/>
      <c r="C150" s="18"/>
      <c r="D150" s="18"/>
      <c r="E150" s="18"/>
      <c r="F150" s="497"/>
      <c r="G150" s="497"/>
      <c r="H150" s="413">
        <v>2</v>
      </c>
      <c r="I150" s="414">
        <v>133</v>
      </c>
      <c r="J150" s="74"/>
      <c r="K150" s="12" t="str">
        <f t="shared" si="10"/>
        <v>TEF</v>
      </c>
      <c r="L150" s="12" t="str">
        <f t="shared" si="11"/>
        <v>PART_TEF_</v>
      </c>
      <c r="M150" s="12" t="str">
        <f t="shared" si="12"/>
        <v>NO</v>
      </c>
      <c r="N150" s="14" t="str">
        <f t="shared" si="13"/>
        <v/>
      </c>
      <c r="O150" s="14" t="str">
        <f>IF(COUNTBLANK(G150)=1,"",IF(G150&lt;VLOOKUP(L150,FeeLookup!$J$29:$L$30,2,FALSE),"YES","NO"))</f>
        <v/>
      </c>
      <c r="P150" s="14" t="str">
        <f>IF(COUNTBLANK(G150)=1,"",IF(G150&gt;VLOOKUP(L150,FeeLookup!$J$29:$L$30,3,FALSE),"YES","NO"))</f>
        <v/>
      </c>
      <c r="Q150" s="14" t="str">
        <f t="shared" si="14"/>
        <v/>
      </c>
    </row>
    <row r="151" spans="1:17" s="344" customFormat="1" x14ac:dyDescent="0.25">
      <c r="A151" s="71">
        <v>134</v>
      </c>
      <c r="B151" s="18"/>
      <c r="C151" s="18"/>
      <c r="D151" s="18"/>
      <c r="E151" s="18"/>
      <c r="F151" s="497"/>
      <c r="G151" s="497"/>
      <c r="H151" s="413">
        <v>2</v>
      </c>
      <c r="I151" s="414">
        <v>134</v>
      </c>
      <c r="J151" s="74"/>
      <c r="K151" s="12" t="str">
        <f t="shared" si="10"/>
        <v>TEF</v>
      </c>
      <c r="L151" s="12" t="str">
        <f t="shared" si="11"/>
        <v>PART_TEF_</v>
      </c>
      <c r="M151" s="12" t="str">
        <f t="shared" si="12"/>
        <v>NO</v>
      </c>
      <c r="N151" s="14" t="str">
        <f t="shared" si="13"/>
        <v/>
      </c>
      <c r="O151" s="14" t="str">
        <f>IF(COUNTBLANK(G151)=1,"",IF(G151&lt;VLOOKUP(L151,FeeLookup!$J$29:$L$30,2,FALSE),"YES","NO"))</f>
        <v/>
      </c>
      <c r="P151" s="14" t="str">
        <f>IF(COUNTBLANK(G151)=1,"",IF(G151&gt;VLOOKUP(L151,FeeLookup!$J$29:$L$30,3,FALSE),"YES","NO"))</f>
        <v/>
      </c>
      <c r="Q151" s="14" t="str">
        <f t="shared" si="14"/>
        <v/>
      </c>
    </row>
    <row r="152" spans="1:17" s="344" customFormat="1" x14ac:dyDescent="0.25">
      <c r="A152" s="71">
        <v>135</v>
      </c>
      <c r="B152" s="18"/>
      <c r="C152" s="18"/>
      <c r="D152" s="18"/>
      <c r="E152" s="18"/>
      <c r="F152" s="497"/>
      <c r="G152" s="497"/>
      <c r="H152" s="413">
        <v>2</v>
      </c>
      <c r="I152" s="414">
        <v>135</v>
      </c>
      <c r="J152" s="74"/>
      <c r="K152" s="12" t="str">
        <f t="shared" si="10"/>
        <v>TEF</v>
      </c>
      <c r="L152" s="12" t="str">
        <f t="shared" si="11"/>
        <v>PART_TEF_</v>
      </c>
      <c r="M152" s="12" t="str">
        <f t="shared" si="12"/>
        <v>NO</v>
      </c>
      <c r="N152" s="14" t="str">
        <f t="shared" si="13"/>
        <v/>
      </c>
      <c r="O152" s="14" t="str">
        <f>IF(COUNTBLANK(G152)=1,"",IF(G152&lt;VLOOKUP(L152,FeeLookup!$J$29:$L$30,2,FALSE),"YES","NO"))</f>
        <v/>
      </c>
      <c r="P152" s="14" t="str">
        <f>IF(COUNTBLANK(G152)=1,"",IF(G152&gt;VLOOKUP(L152,FeeLookup!$J$29:$L$30,3,FALSE),"YES","NO"))</f>
        <v/>
      </c>
      <c r="Q152" s="14" t="str">
        <f t="shared" si="14"/>
        <v/>
      </c>
    </row>
    <row r="153" spans="1:17" s="344" customFormat="1" x14ac:dyDescent="0.25">
      <c r="A153" s="71">
        <v>136</v>
      </c>
      <c r="B153" s="18"/>
      <c r="C153" s="18"/>
      <c r="D153" s="18"/>
      <c r="E153" s="18"/>
      <c r="F153" s="497"/>
      <c r="G153" s="497"/>
      <c r="H153" s="413">
        <v>2</v>
      </c>
      <c r="I153" s="414">
        <v>136</v>
      </c>
      <c r="J153" s="74"/>
      <c r="K153" s="12" t="str">
        <f t="shared" si="10"/>
        <v>TEF</v>
      </c>
      <c r="L153" s="12" t="str">
        <f t="shared" si="11"/>
        <v>PART_TEF_</v>
      </c>
      <c r="M153" s="12" t="str">
        <f t="shared" si="12"/>
        <v>NO</v>
      </c>
      <c r="N153" s="14" t="str">
        <f t="shared" si="13"/>
        <v/>
      </c>
      <c r="O153" s="14" t="str">
        <f>IF(COUNTBLANK(G153)=1,"",IF(G153&lt;VLOOKUP(L153,FeeLookup!$J$29:$L$30,2,FALSE),"YES","NO"))</f>
        <v/>
      </c>
      <c r="P153" s="14" t="str">
        <f>IF(COUNTBLANK(G153)=1,"",IF(G153&gt;VLOOKUP(L153,FeeLookup!$J$29:$L$30,3,FALSE),"YES","NO"))</f>
        <v/>
      </c>
      <c r="Q153" s="14" t="str">
        <f t="shared" si="14"/>
        <v/>
      </c>
    </row>
    <row r="154" spans="1:17" s="344" customFormat="1" x14ac:dyDescent="0.25">
      <c r="A154" s="71">
        <v>137</v>
      </c>
      <c r="B154" s="18"/>
      <c r="C154" s="18"/>
      <c r="D154" s="18"/>
      <c r="E154" s="18"/>
      <c r="F154" s="497"/>
      <c r="G154" s="497"/>
      <c r="H154" s="413">
        <v>2</v>
      </c>
      <c r="I154" s="414">
        <v>137</v>
      </c>
      <c r="J154" s="74"/>
      <c r="K154" s="12" t="str">
        <f t="shared" si="10"/>
        <v>TEF</v>
      </c>
      <c r="L154" s="12" t="str">
        <f t="shared" si="11"/>
        <v>PART_TEF_</v>
      </c>
      <c r="M154" s="12" t="str">
        <f t="shared" si="12"/>
        <v>NO</v>
      </c>
      <c r="N154" s="14" t="str">
        <f t="shared" si="13"/>
        <v/>
      </c>
      <c r="O154" s="14" t="str">
        <f>IF(COUNTBLANK(G154)=1,"",IF(G154&lt;VLOOKUP(L154,FeeLookup!$J$29:$L$30,2,FALSE),"YES","NO"))</f>
        <v/>
      </c>
      <c r="P154" s="14" t="str">
        <f>IF(COUNTBLANK(G154)=1,"",IF(G154&gt;VLOOKUP(L154,FeeLookup!$J$29:$L$30,3,FALSE),"YES","NO"))</f>
        <v/>
      </c>
      <c r="Q154" s="14" t="str">
        <f t="shared" si="14"/>
        <v/>
      </c>
    </row>
    <row r="155" spans="1:17" s="344" customFormat="1" x14ac:dyDescent="0.25">
      <c r="A155" s="71">
        <v>138</v>
      </c>
      <c r="B155" s="18"/>
      <c r="C155" s="18"/>
      <c r="D155" s="18"/>
      <c r="E155" s="18"/>
      <c r="F155" s="497"/>
      <c r="G155" s="497"/>
      <c r="H155" s="413">
        <v>2</v>
      </c>
      <c r="I155" s="414">
        <v>138</v>
      </c>
      <c r="J155" s="74"/>
      <c r="K155" s="12" t="str">
        <f t="shared" si="10"/>
        <v>TEF</v>
      </c>
      <c r="L155" s="12" t="str">
        <f t="shared" si="11"/>
        <v>PART_TEF_</v>
      </c>
      <c r="M155" s="12" t="str">
        <f t="shared" si="12"/>
        <v>NO</v>
      </c>
      <c r="N155" s="14" t="str">
        <f t="shared" si="13"/>
        <v/>
      </c>
      <c r="O155" s="14" t="str">
        <f>IF(COUNTBLANK(G155)=1,"",IF(G155&lt;VLOOKUP(L155,FeeLookup!$J$29:$L$30,2,FALSE),"YES","NO"))</f>
        <v/>
      </c>
      <c r="P155" s="14" t="str">
        <f>IF(COUNTBLANK(G155)=1,"",IF(G155&gt;VLOOKUP(L155,FeeLookup!$J$29:$L$30,3,FALSE),"YES","NO"))</f>
        <v/>
      </c>
      <c r="Q155" s="14" t="str">
        <f t="shared" si="14"/>
        <v/>
      </c>
    </row>
    <row r="156" spans="1:17" s="344" customFormat="1" x14ac:dyDescent="0.25">
      <c r="A156" s="71">
        <v>139</v>
      </c>
      <c r="B156" s="18"/>
      <c r="C156" s="18"/>
      <c r="D156" s="18"/>
      <c r="E156" s="18"/>
      <c r="F156" s="497"/>
      <c r="G156" s="497"/>
      <c r="H156" s="413">
        <v>2</v>
      </c>
      <c r="I156" s="414">
        <v>139</v>
      </c>
      <c r="J156" s="74"/>
      <c r="K156" s="12" t="str">
        <f t="shared" si="10"/>
        <v>TEF</v>
      </c>
      <c r="L156" s="12" t="str">
        <f t="shared" si="11"/>
        <v>PART_TEF_</v>
      </c>
      <c r="M156" s="12" t="str">
        <f t="shared" si="12"/>
        <v>NO</v>
      </c>
      <c r="N156" s="14" t="str">
        <f t="shared" si="13"/>
        <v/>
      </c>
      <c r="O156" s="14" t="str">
        <f>IF(COUNTBLANK(G156)=1,"",IF(G156&lt;VLOOKUP(L156,FeeLookup!$J$29:$L$30,2,FALSE),"YES","NO"))</f>
        <v/>
      </c>
      <c r="P156" s="14" t="str">
        <f>IF(COUNTBLANK(G156)=1,"",IF(G156&gt;VLOOKUP(L156,FeeLookup!$J$29:$L$30,3,FALSE),"YES","NO"))</f>
        <v/>
      </c>
      <c r="Q156" s="14" t="str">
        <f t="shared" si="14"/>
        <v/>
      </c>
    </row>
    <row r="157" spans="1:17" s="344" customFormat="1" x14ac:dyDescent="0.25">
      <c r="A157" s="71">
        <v>140</v>
      </c>
      <c r="B157" s="18"/>
      <c r="C157" s="18"/>
      <c r="D157" s="18"/>
      <c r="E157" s="18"/>
      <c r="F157" s="497"/>
      <c r="G157" s="497"/>
      <c r="H157" s="413">
        <v>2</v>
      </c>
      <c r="I157" s="414">
        <v>140</v>
      </c>
      <c r="J157" s="74"/>
      <c r="K157" s="12" t="str">
        <f t="shared" si="10"/>
        <v>TEF</v>
      </c>
      <c r="L157" s="12" t="str">
        <f t="shared" si="11"/>
        <v>PART_TEF_</v>
      </c>
      <c r="M157" s="12" t="str">
        <f t="shared" si="12"/>
        <v>NO</v>
      </c>
      <c r="N157" s="14" t="str">
        <f t="shared" si="13"/>
        <v/>
      </c>
      <c r="O157" s="14" t="str">
        <f>IF(COUNTBLANK(G157)=1,"",IF(G157&lt;VLOOKUP(L157,FeeLookup!$J$29:$L$30,2,FALSE),"YES","NO"))</f>
        <v/>
      </c>
      <c r="P157" s="14" t="str">
        <f>IF(COUNTBLANK(G157)=1,"",IF(G157&gt;VLOOKUP(L157,FeeLookup!$J$29:$L$30,3,FALSE),"YES","NO"))</f>
        <v/>
      </c>
      <c r="Q157" s="14" t="str">
        <f t="shared" si="14"/>
        <v/>
      </c>
    </row>
    <row r="158" spans="1:17" s="344" customFormat="1" x14ac:dyDescent="0.25">
      <c r="A158" s="71">
        <v>141</v>
      </c>
      <c r="B158" s="18"/>
      <c r="C158" s="18"/>
      <c r="D158" s="18"/>
      <c r="E158" s="18"/>
      <c r="F158" s="497"/>
      <c r="G158" s="497"/>
      <c r="H158" s="413">
        <v>2</v>
      </c>
      <c r="I158" s="414">
        <v>141</v>
      </c>
      <c r="J158" s="74"/>
      <c r="K158" s="12" t="str">
        <f t="shared" si="10"/>
        <v>TEF</v>
      </c>
      <c r="L158" s="12" t="str">
        <f t="shared" si="11"/>
        <v>PART_TEF_</v>
      </c>
      <c r="M158" s="12" t="str">
        <f t="shared" si="12"/>
        <v>NO</v>
      </c>
      <c r="N158" s="14" t="str">
        <f t="shared" si="13"/>
        <v/>
      </c>
      <c r="O158" s="14" t="str">
        <f>IF(COUNTBLANK(G158)=1,"",IF(G158&lt;VLOOKUP(L158,FeeLookup!$J$29:$L$30,2,FALSE),"YES","NO"))</f>
        <v/>
      </c>
      <c r="P158" s="14" t="str">
        <f>IF(COUNTBLANK(G158)=1,"",IF(G158&gt;VLOOKUP(L158,FeeLookup!$J$29:$L$30,3,FALSE),"YES","NO"))</f>
        <v/>
      </c>
      <c r="Q158" s="14" t="str">
        <f t="shared" si="14"/>
        <v/>
      </c>
    </row>
    <row r="159" spans="1:17" s="344" customFormat="1" x14ac:dyDescent="0.25">
      <c r="A159" s="71">
        <v>142</v>
      </c>
      <c r="B159" s="18"/>
      <c r="C159" s="18"/>
      <c r="D159" s="18"/>
      <c r="E159" s="18"/>
      <c r="F159" s="497"/>
      <c r="G159" s="497"/>
      <c r="H159" s="413">
        <v>2</v>
      </c>
      <c r="I159" s="414">
        <v>142</v>
      </c>
      <c r="J159" s="74"/>
      <c r="K159" s="12" t="str">
        <f t="shared" si="10"/>
        <v>TEF</v>
      </c>
      <c r="L159" s="12" t="str">
        <f t="shared" si="11"/>
        <v>PART_TEF_</v>
      </c>
      <c r="M159" s="12" t="str">
        <f t="shared" si="12"/>
        <v>NO</v>
      </c>
      <c r="N159" s="14" t="str">
        <f t="shared" si="13"/>
        <v/>
      </c>
      <c r="O159" s="14" t="str">
        <f>IF(COUNTBLANK(G159)=1,"",IF(G159&lt;VLOOKUP(L159,FeeLookup!$J$29:$L$30,2,FALSE),"YES","NO"))</f>
        <v/>
      </c>
      <c r="P159" s="14" t="str">
        <f>IF(COUNTBLANK(G159)=1,"",IF(G159&gt;VLOOKUP(L159,FeeLookup!$J$29:$L$30,3,FALSE),"YES","NO"))</f>
        <v/>
      </c>
      <c r="Q159" s="14" t="str">
        <f t="shared" si="14"/>
        <v/>
      </c>
    </row>
    <row r="160" spans="1:17" s="344" customFormat="1" x14ac:dyDescent="0.25">
      <c r="A160" s="71">
        <v>143</v>
      </c>
      <c r="B160" s="18"/>
      <c r="C160" s="18"/>
      <c r="D160" s="18"/>
      <c r="E160" s="18"/>
      <c r="F160" s="497"/>
      <c r="G160" s="497"/>
      <c r="H160" s="413">
        <v>2</v>
      </c>
      <c r="I160" s="414">
        <v>143</v>
      </c>
      <c r="J160" s="74"/>
      <c r="K160" s="12" t="str">
        <f t="shared" si="10"/>
        <v>TEF</v>
      </c>
      <c r="L160" s="12" t="str">
        <f t="shared" si="11"/>
        <v>PART_TEF_</v>
      </c>
      <c r="M160" s="12" t="str">
        <f t="shared" si="12"/>
        <v>NO</v>
      </c>
      <c r="N160" s="14" t="str">
        <f t="shared" si="13"/>
        <v/>
      </c>
      <c r="O160" s="14" t="str">
        <f>IF(COUNTBLANK(G160)=1,"",IF(G160&lt;VLOOKUP(L160,FeeLookup!$J$29:$L$30,2,FALSE),"YES","NO"))</f>
        <v/>
      </c>
      <c r="P160" s="14" t="str">
        <f>IF(COUNTBLANK(G160)=1,"",IF(G160&gt;VLOOKUP(L160,FeeLookup!$J$29:$L$30,3,FALSE),"YES","NO"))</f>
        <v/>
      </c>
      <c r="Q160" s="14" t="str">
        <f t="shared" si="14"/>
        <v/>
      </c>
    </row>
    <row r="161" spans="1:17" s="344" customFormat="1" x14ac:dyDescent="0.25">
      <c r="A161" s="71">
        <v>144</v>
      </c>
      <c r="B161" s="18"/>
      <c r="C161" s="18"/>
      <c r="D161" s="18"/>
      <c r="E161" s="18"/>
      <c r="F161" s="497"/>
      <c r="G161" s="497"/>
      <c r="H161" s="413">
        <v>2</v>
      </c>
      <c r="I161" s="414">
        <v>144</v>
      </c>
      <c r="J161" s="74"/>
      <c r="K161" s="12" t="str">
        <f t="shared" si="10"/>
        <v>TEF</v>
      </c>
      <c r="L161" s="12" t="str">
        <f t="shared" si="11"/>
        <v>PART_TEF_</v>
      </c>
      <c r="M161" s="12" t="str">
        <f t="shared" si="12"/>
        <v>NO</v>
      </c>
      <c r="N161" s="14" t="str">
        <f t="shared" si="13"/>
        <v/>
      </c>
      <c r="O161" s="14" t="str">
        <f>IF(COUNTBLANK(G161)=1,"",IF(G161&lt;VLOOKUP(L161,FeeLookup!$J$29:$L$30,2,FALSE),"YES","NO"))</f>
        <v/>
      </c>
      <c r="P161" s="14" t="str">
        <f>IF(COUNTBLANK(G161)=1,"",IF(G161&gt;VLOOKUP(L161,FeeLookup!$J$29:$L$30,3,FALSE),"YES","NO"))</f>
        <v/>
      </c>
      <c r="Q161" s="14" t="str">
        <f t="shared" si="14"/>
        <v/>
      </c>
    </row>
    <row r="162" spans="1:17" s="344" customFormat="1" x14ac:dyDescent="0.25">
      <c r="A162" s="71">
        <v>145</v>
      </c>
      <c r="B162" s="18"/>
      <c r="C162" s="18"/>
      <c r="D162" s="18"/>
      <c r="E162" s="18"/>
      <c r="F162" s="497"/>
      <c r="G162" s="497"/>
      <c r="H162" s="413">
        <v>2</v>
      </c>
      <c r="I162" s="414">
        <v>145</v>
      </c>
      <c r="J162" s="74"/>
      <c r="K162" s="12" t="str">
        <f t="shared" si="10"/>
        <v>TEF</v>
      </c>
      <c r="L162" s="12" t="str">
        <f t="shared" si="11"/>
        <v>PART_TEF_</v>
      </c>
      <c r="M162" s="12" t="str">
        <f t="shared" si="12"/>
        <v>NO</v>
      </c>
      <c r="N162" s="14" t="str">
        <f t="shared" si="13"/>
        <v/>
      </c>
      <c r="O162" s="14" t="str">
        <f>IF(COUNTBLANK(G162)=1,"",IF(G162&lt;VLOOKUP(L162,FeeLookup!$J$29:$L$30,2,FALSE),"YES","NO"))</f>
        <v/>
      </c>
      <c r="P162" s="14" t="str">
        <f>IF(COUNTBLANK(G162)=1,"",IF(G162&gt;VLOOKUP(L162,FeeLookup!$J$29:$L$30,3,FALSE),"YES","NO"))</f>
        <v/>
      </c>
      <c r="Q162" s="14" t="str">
        <f t="shared" si="14"/>
        <v/>
      </c>
    </row>
    <row r="163" spans="1:17" s="344" customFormat="1" x14ac:dyDescent="0.25">
      <c r="A163" s="71">
        <v>146</v>
      </c>
      <c r="B163" s="18"/>
      <c r="C163" s="18"/>
      <c r="D163" s="18"/>
      <c r="E163" s="18"/>
      <c r="F163" s="497"/>
      <c r="G163" s="497"/>
      <c r="H163" s="413">
        <v>2</v>
      </c>
      <c r="I163" s="414">
        <v>146</v>
      </c>
      <c r="J163" s="74"/>
      <c r="K163" s="12" t="str">
        <f t="shared" si="10"/>
        <v>TEF</v>
      </c>
      <c r="L163" s="12" t="str">
        <f t="shared" si="11"/>
        <v>PART_TEF_</v>
      </c>
      <c r="M163" s="12" t="str">
        <f t="shared" si="12"/>
        <v>NO</v>
      </c>
      <c r="N163" s="14" t="str">
        <f t="shared" si="13"/>
        <v/>
      </c>
      <c r="O163" s="14" t="str">
        <f>IF(COUNTBLANK(G163)=1,"",IF(G163&lt;VLOOKUP(L163,FeeLookup!$J$29:$L$30,2,FALSE),"YES","NO"))</f>
        <v/>
      </c>
      <c r="P163" s="14" t="str">
        <f>IF(COUNTBLANK(G163)=1,"",IF(G163&gt;VLOOKUP(L163,FeeLookup!$J$29:$L$30,3,FALSE),"YES","NO"))</f>
        <v/>
      </c>
      <c r="Q163" s="14" t="str">
        <f t="shared" si="14"/>
        <v/>
      </c>
    </row>
    <row r="164" spans="1:17" s="344" customFormat="1" x14ac:dyDescent="0.25">
      <c r="A164" s="71">
        <v>147</v>
      </c>
      <c r="B164" s="18"/>
      <c r="C164" s="18"/>
      <c r="D164" s="18"/>
      <c r="E164" s="18"/>
      <c r="F164" s="497"/>
      <c r="G164" s="497"/>
      <c r="H164" s="413">
        <v>2</v>
      </c>
      <c r="I164" s="414">
        <v>147</v>
      </c>
      <c r="J164" s="74"/>
      <c r="K164" s="12" t="str">
        <f t="shared" si="10"/>
        <v>TEF</v>
      </c>
      <c r="L164" s="12" t="str">
        <f t="shared" si="11"/>
        <v>PART_TEF_</v>
      </c>
      <c r="M164" s="12" t="str">
        <f t="shared" si="12"/>
        <v>NO</v>
      </c>
      <c r="N164" s="14" t="str">
        <f t="shared" si="13"/>
        <v/>
      </c>
      <c r="O164" s="14" t="str">
        <f>IF(COUNTBLANK(G164)=1,"",IF(G164&lt;VLOOKUP(L164,FeeLookup!$J$29:$L$30,2,FALSE),"YES","NO"))</f>
        <v/>
      </c>
      <c r="P164" s="14" t="str">
        <f>IF(COUNTBLANK(G164)=1,"",IF(G164&gt;VLOOKUP(L164,FeeLookup!$J$29:$L$30,3,FALSE),"YES","NO"))</f>
        <v/>
      </c>
      <c r="Q164" s="14" t="str">
        <f t="shared" si="14"/>
        <v/>
      </c>
    </row>
    <row r="165" spans="1:17" s="344" customFormat="1" x14ac:dyDescent="0.25">
      <c r="A165" s="71">
        <v>148</v>
      </c>
      <c r="B165" s="18"/>
      <c r="C165" s="18"/>
      <c r="D165" s="18"/>
      <c r="E165" s="18"/>
      <c r="F165" s="497"/>
      <c r="G165" s="497"/>
      <c r="H165" s="413">
        <v>2</v>
      </c>
      <c r="I165" s="414">
        <v>148</v>
      </c>
      <c r="J165" s="74"/>
      <c r="K165" s="12" t="str">
        <f t="shared" si="10"/>
        <v>TEF</v>
      </c>
      <c r="L165" s="12" t="str">
        <f t="shared" si="11"/>
        <v>PART_TEF_</v>
      </c>
      <c r="M165" s="12" t="str">
        <f t="shared" si="12"/>
        <v>NO</v>
      </c>
      <c r="N165" s="14" t="str">
        <f t="shared" si="13"/>
        <v/>
      </c>
      <c r="O165" s="14" t="str">
        <f>IF(COUNTBLANK(G165)=1,"",IF(G165&lt;VLOOKUP(L165,FeeLookup!$J$29:$L$30,2,FALSE),"YES","NO"))</f>
        <v/>
      </c>
      <c r="P165" s="14" t="str">
        <f>IF(COUNTBLANK(G165)=1,"",IF(G165&gt;VLOOKUP(L165,FeeLookup!$J$29:$L$30,3,FALSE),"YES","NO"))</f>
        <v/>
      </c>
      <c r="Q165" s="14" t="str">
        <f t="shared" si="14"/>
        <v/>
      </c>
    </row>
    <row r="166" spans="1:17" s="344" customFormat="1" x14ac:dyDescent="0.25">
      <c r="A166" s="71">
        <v>149</v>
      </c>
      <c r="B166" s="18"/>
      <c r="C166" s="18"/>
      <c r="D166" s="18"/>
      <c r="E166" s="18"/>
      <c r="F166" s="497"/>
      <c r="G166" s="497"/>
      <c r="H166" s="413">
        <v>2</v>
      </c>
      <c r="I166" s="414">
        <v>149</v>
      </c>
      <c r="J166" s="74"/>
      <c r="K166" s="12" t="str">
        <f t="shared" si="10"/>
        <v>TEF</v>
      </c>
      <c r="L166" s="12" t="str">
        <f t="shared" si="11"/>
        <v>PART_TEF_</v>
      </c>
      <c r="M166" s="12" t="str">
        <f t="shared" si="12"/>
        <v>NO</v>
      </c>
      <c r="N166" s="14" t="str">
        <f t="shared" si="13"/>
        <v/>
      </c>
      <c r="O166" s="14" t="str">
        <f>IF(COUNTBLANK(G166)=1,"",IF(G166&lt;VLOOKUP(L166,FeeLookup!$J$29:$L$30,2,FALSE),"YES","NO"))</f>
        <v/>
      </c>
      <c r="P166" s="14" t="str">
        <f>IF(COUNTBLANK(G166)=1,"",IF(G166&gt;VLOOKUP(L166,FeeLookup!$J$29:$L$30,3,FALSE),"YES","NO"))</f>
        <v/>
      </c>
      <c r="Q166" s="14" t="str">
        <f t="shared" si="14"/>
        <v/>
      </c>
    </row>
    <row r="167" spans="1:17" s="344" customFormat="1" x14ac:dyDescent="0.25">
      <c r="A167" s="84">
        <v>150</v>
      </c>
      <c r="B167" s="75"/>
      <c r="C167" s="75"/>
      <c r="D167" s="75"/>
      <c r="E167" s="75"/>
      <c r="F167" s="498"/>
      <c r="G167" s="498"/>
      <c r="H167" s="419">
        <v>2</v>
      </c>
      <c r="I167" s="421">
        <v>150</v>
      </c>
      <c r="J167" s="74"/>
      <c r="K167" s="12" t="str">
        <f t="shared" si="10"/>
        <v>TEF</v>
      </c>
      <c r="L167" s="12" t="str">
        <f t="shared" si="11"/>
        <v>PART_TEF_</v>
      </c>
      <c r="M167" s="12" t="str">
        <f t="shared" si="12"/>
        <v>NO</v>
      </c>
      <c r="N167" s="14" t="str">
        <f t="shared" si="13"/>
        <v/>
      </c>
      <c r="O167" s="14" t="str">
        <f>IF(COUNTBLANK(G167)=1,"",IF(G167&lt;VLOOKUP(L167,FeeLookup!$J$29:$L$30,2,FALSE),"YES","NO"))</f>
        <v/>
      </c>
      <c r="P167" s="14" t="str">
        <f>IF(COUNTBLANK(G167)=1,"",IF(G167&gt;VLOOKUP(L167,FeeLookup!$J$29:$L$30,3,FALSE),"YES","NO"))</f>
        <v/>
      </c>
      <c r="Q167" s="14" t="str">
        <f t="shared" si="14"/>
        <v/>
      </c>
    </row>
    <row r="168" spans="1:17" s="344" customFormat="1" hidden="1" x14ac:dyDescent="0.25">
      <c r="A168" s="76"/>
      <c r="B168" s="76"/>
      <c r="C168" s="74"/>
      <c r="D168" s="74"/>
      <c r="E168" s="74"/>
      <c r="F168" s="74"/>
      <c r="G168" s="74"/>
      <c r="H168" s="2"/>
      <c r="I168" s="2"/>
      <c r="J168" s="74"/>
      <c r="K168" s="74"/>
      <c r="L168" s="74"/>
      <c r="M168" s="74"/>
      <c r="N168" s="74"/>
      <c r="O168" s="74"/>
      <c r="P168" s="74"/>
      <c r="Q168" s="74"/>
    </row>
    <row r="169" spans="1:17" s="344" customFormat="1" hidden="1" x14ac:dyDescent="0.25">
      <c r="A169" s="76"/>
      <c r="B169" s="76"/>
      <c r="C169" s="74"/>
      <c r="D169" s="74"/>
      <c r="E169" s="74"/>
      <c r="F169" s="74"/>
      <c r="G169" s="74"/>
      <c r="H169" s="2"/>
      <c r="I169" s="2"/>
      <c r="J169" s="74"/>
      <c r="K169" s="74"/>
      <c r="L169" s="74"/>
      <c r="M169" s="74"/>
      <c r="N169" s="74"/>
      <c r="O169" s="74"/>
      <c r="P169" s="74"/>
      <c r="Q169" s="74"/>
    </row>
    <row r="170" spans="1:17" s="344" customFormat="1" hidden="1" x14ac:dyDescent="0.25">
      <c r="A170" s="77"/>
      <c r="B170" s="77"/>
      <c r="C170" s="78"/>
      <c r="D170" s="78"/>
      <c r="E170" s="78"/>
      <c r="F170" s="78"/>
      <c r="G170" s="74"/>
      <c r="H170" s="2"/>
      <c r="I170" s="2"/>
      <c r="J170" s="74"/>
      <c r="K170" s="74"/>
      <c r="L170" s="74"/>
      <c r="M170" s="74"/>
      <c r="N170" s="74"/>
      <c r="O170" s="74"/>
      <c r="P170" s="74"/>
      <c r="Q170" s="74"/>
    </row>
    <row r="171" spans="1:17" s="344" customFormat="1" hidden="1" x14ac:dyDescent="0.25">
      <c r="A171" s="79"/>
      <c r="B171" s="79"/>
      <c r="C171" s="74"/>
      <c r="D171" s="74"/>
      <c r="E171" s="74"/>
      <c r="F171" s="74"/>
      <c r="G171" s="74"/>
      <c r="H171" s="2"/>
      <c r="I171" s="2"/>
      <c r="J171" s="74"/>
      <c r="K171" s="74"/>
      <c r="L171" s="74"/>
      <c r="M171" s="74"/>
      <c r="N171" s="74"/>
      <c r="O171" s="74"/>
      <c r="P171" s="74"/>
      <c r="Q171" s="74"/>
    </row>
    <row r="172" spans="1:17" s="344" customFormat="1" hidden="1" x14ac:dyDescent="0.25">
      <c r="A172" s="80"/>
      <c r="B172" s="80"/>
      <c r="C172" s="74"/>
      <c r="D172" s="74"/>
      <c r="E172" s="74"/>
      <c r="F172" s="74"/>
      <c r="G172" s="74"/>
      <c r="H172" s="2"/>
      <c r="I172" s="2"/>
      <c r="J172" s="74"/>
      <c r="K172" s="74"/>
      <c r="L172" s="74"/>
      <c r="M172" s="74"/>
      <c r="N172" s="74"/>
      <c r="O172" s="74"/>
      <c r="P172" s="74"/>
      <c r="Q172" s="74"/>
    </row>
    <row r="173" spans="1:17" s="344" customFormat="1" hidden="1" x14ac:dyDescent="0.25">
      <c r="A173" s="81"/>
      <c r="B173" s="81"/>
      <c r="C173" s="74"/>
      <c r="D173" s="74"/>
      <c r="E173" s="74"/>
      <c r="F173" s="74"/>
      <c r="G173" s="74"/>
      <c r="H173" s="2"/>
      <c r="I173" s="2"/>
      <c r="J173" s="74"/>
      <c r="K173" s="74"/>
      <c r="L173" s="74"/>
      <c r="M173" s="74"/>
      <c r="N173" s="74"/>
      <c r="O173" s="74"/>
      <c r="P173" s="74"/>
      <c r="Q173" s="74"/>
    </row>
    <row r="174" spans="1:17" s="344" customFormat="1" hidden="1" x14ac:dyDescent="0.25">
      <c r="A174" s="81"/>
      <c r="B174" s="81"/>
      <c r="C174" s="74"/>
      <c r="D174" s="74"/>
      <c r="E174" s="74"/>
      <c r="F174" s="74"/>
      <c r="G174" s="74"/>
      <c r="H174" s="2"/>
      <c r="I174" s="2"/>
      <c r="J174" s="74"/>
      <c r="K174" s="74"/>
      <c r="L174" s="74"/>
      <c r="M174" s="74"/>
      <c r="N174" s="74"/>
      <c r="O174" s="74"/>
      <c r="P174" s="74"/>
      <c r="Q174" s="74"/>
    </row>
    <row r="175" spans="1:17" s="344" customFormat="1" hidden="1" x14ac:dyDescent="0.25">
      <c r="A175" s="81"/>
      <c r="B175" s="81"/>
      <c r="C175" s="74"/>
      <c r="D175" s="74"/>
      <c r="E175" s="74"/>
      <c r="F175" s="74"/>
      <c r="G175" s="74"/>
      <c r="H175" s="2"/>
      <c r="I175" s="2"/>
      <c r="J175" s="74"/>
      <c r="K175" s="74"/>
      <c r="L175" s="74"/>
      <c r="M175" s="74"/>
      <c r="N175" s="74"/>
      <c r="O175" s="74"/>
      <c r="P175" s="74"/>
      <c r="Q175" s="74"/>
    </row>
    <row r="176" spans="1:17" s="344" customFormat="1" hidden="1" x14ac:dyDescent="0.25">
      <c r="A176" s="81"/>
      <c r="B176" s="81"/>
      <c r="C176" s="74"/>
      <c r="D176" s="74"/>
      <c r="E176" s="74"/>
      <c r="F176" s="74"/>
      <c r="G176" s="74"/>
      <c r="H176" s="2"/>
      <c r="I176" s="2"/>
      <c r="J176" s="74"/>
      <c r="K176" s="74"/>
      <c r="L176" s="74"/>
      <c r="M176" s="74"/>
      <c r="N176" s="74"/>
      <c r="O176" s="74"/>
      <c r="P176" s="74"/>
      <c r="Q176" s="74"/>
    </row>
    <row r="177" spans="1:17" s="344" customFormat="1" hidden="1" x14ac:dyDescent="0.25">
      <c r="A177" s="81"/>
      <c r="B177" s="81"/>
      <c r="C177" s="74"/>
      <c r="D177" s="74"/>
      <c r="E177" s="74"/>
      <c r="F177" s="74"/>
      <c r="G177" s="74"/>
      <c r="H177" s="2"/>
      <c r="I177" s="2"/>
      <c r="J177" s="74"/>
      <c r="K177" s="74"/>
      <c r="L177" s="74"/>
      <c r="M177" s="74"/>
      <c r="N177" s="74"/>
      <c r="O177" s="74"/>
      <c r="P177" s="74"/>
      <c r="Q177" s="74"/>
    </row>
    <row r="178" spans="1:17" s="344" customFormat="1" hidden="1" x14ac:dyDescent="0.25">
      <c r="A178" s="81"/>
      <c r="B178" s="81"/>
      <c r="C178" s="74"/>
      <c r="D178" s="74"/>
      <c r="E178" s="74"/>
      <c r="F178" s="74"/>
      <c r="G178" s="74"/>
      <c r="H178" s="2"/>
      <c r="I178" s="2"/>
      <c r="J178" s="74"/>
      <c r="K178" s="74"/>
      <c r="L178" s="74"/>
      <c r="M178" s="74"/>
      <c r="N178" s="74"/>
      <c r="O178" s="74"/>
      <c r="P178" s="74"/>
      <c r="Q178" s="74"/>
    </row>
    <row r="179" spans="1:17" s="344" customFormat="1" hidden="1" x14ac:dyDescent="0.25">
      <c r="A179" s="81"/>
      <c r="B179" s="81"/>
      <c r="C179" s="74"/>
      <c r="D179" s="74"/>
      <c r="E179" s="74"/>
      <c r="F179" s="74"/>
      <c r="G179" s="74"/>
      <c r="H179" s="2"/>
      <c r="I179" s="2"/>
      <c r="J179" s="74"/>
      <c r="K179" s="74"/>
      <c r="L179" s="74"/>
      <c r="M179" s="74"/>
      <c r="N179" s="74"/>
      <c r="O179" s="74"/>
      <c r="P179" s="74"/>
      <c r="Q179" s="74"/>
    </row>
    <row r="180" spans="1:17" s="344" customFormat="1" hidden="1" x14ac:dyDescent="0.25">
      <c r="A180" s="81"/>
      <c r="B180" s="81"/>
      <c r="C180" s="74"/>
      <c r="D180" s="74"/>
      <c r="E180" s="74"/>
      <c r="F180" s="74"/>
      <c r="G180" s="74"/>
      <c r="H180" s="2"/>
      <c r="I180" s="2"/>
      <c r="J180" s="74"/>
      <c r="K180" s="74"/>
      <c r="L180" s="74"/>
      <c r="M180" s="74"/>
      <c r="N180" s="74"/>
      <c r="O180" s="74"/>
      <c r="P180" s="74"/>
      <c r="Q180" s="74"/>
    </row>
    <row r="181" spans="1:17" s="344" customFormat="1" hidden="1" x14ac:dyDescent="0.25">
      <c r="A181" s="81"/>
      <c r="B181" s="81"/>
      <c r="C181" s="74"/>
      <c r="D181" s="74"/>
      <c r="E181" s="74"/>
      <c r="F181" s="74"/>
      <c r="G181" s="74"/>
      <c r="H181" s="2"/>
      <c r="I181" s="2"/>
      <c r="J181" s="74"/>
      <c r="K181" s="74"/>
      <c r="L181" s="74"/>
      <c r="M181" s="74"/>
      <c r="N181" s="74"/>
      <c r="O181" s="74"/>
      <c r="P181" s="74"/>
      <c r="Q181" s="74"/>
    </row>
    <row r="182" spans="1:17" s="344" customFormat="1" hidden="1" x14ac:dyDescent="0.25">
      <c r="A182" s="81"/>
      <c r="B182" s="81"/>
      <c r="C182" s="74"/>
      <c r="D182" s="74"/>
      <c r="E182" s="74"/>
      <c r="F182" s="74"/>
      <c r="G182" s="74"/>
      <c r="H182" s="2"/>
      <c r="I182" s="2"/>
      <c r="J182" s="74"/>
      <c r="K182" s="74"/>
      <c r="L182" s="74"/>
      <c r="M182" s="74"/>
      <c r="N182" s="74"/>
      <c r="O182" s="74"/>
      <c r="P182" s="74"/>
      <c r="Q182" s="74"/>
    </row>
    <row r="183" spans="1:17" s="344" customFormat="1" hidden="1" x14ac:dyDescent="0.25">
      <c r="A183" s="81"/>
      <c r="B183" s="81"/>
      <c r="C183" s="74"/>
      <c r="D183" s="74"/>
      <c r="E183" s="74"/>
      <c r="F183" s="74"/>
      <c r="G183" s="74"/>
      <c r="H183" s="2"/>
      <c r="I183" s="2"/>
      <c r="J183" s="74"/>
      <c r="K183" s="74"/>
      <c r="L183" s="74"/>
      <c r="M183" s="74"/>
      <c r="N183" s="74"/>
      <c r="O183" s="74"/>
      <c r="P183" s="74"/>
      <c r="Q183" s="74"/>
    </row>
    <row r="184" spans="1:17" s="344" customFormat="1" hidden="1" x14ac:dyDescent="0.25">
      <c r="A184" s="81"/>
      <c r="B184" s="81"/>
      <c r="C184" s="74"/>
      <c r="D184" s="74"/>
      <c r="E184" s="74"/>
      <c r="F184" s="74"/>
      <c r="G184" s="74"/>
      <c r="H184" s="2"/>
      <c r="I184" s="2"/>
      <c r="J184" s="74"/>
      <c r="K184" s="74"/>
      <c r="L184" s="74"/>
      <c r="M184" s="74"/>
      <c r="N184" s="74"/>
      <c r="O184" s="74"/>
      <c r="P184" s="74"/>
      <c r="Q184" s="74"/>
    </row>
    <row r="185" spans="1:17" s="344" customFormat="1" hidden="1" x14ac:dyDescent="0.25">
      <c r="A185" s="81"/>
      <c r="B185" s="81"/>
      <c r="C185" s="74"/>
      <c r="D185" s="74"/>
      <c r="E185" s="74"/>
      <c r="F185" s="74"/>
      <c r="G185" s="74"/>
      <c r="H185" s="2"/>
      <c r="I185" s="2"/>
      <c r="J185" s="74"/>
      <c r="K185" s="74"/>
      <c r="L185" s="74"/>
      <c r="M185" s="74"/>
      <c r="N185" s="74"/>
      <c r="O185" s="74"/>
      <c r="P185" s="74"/>
      <c r="Q185" s="74"/>
    </row>
    <row r="186" spans="1:17" s="344" customFormat="1" hidden="1" x14ac:dyDescent="0.25">
      <c r="A186" s="81"/>
      <c r="B186" s="81"/>
      <c r="C186" s="74"/>
      <c r="D186" s="74"/>
      <c r="E186" s="74"/>
      <c r="F186" s="74"/>
      <c r="G186" s="74"/>
      <c r="H186" s="2"/>
      <c r="I186" s="2"/>
      <c r="J186" s="74"/>
      <c r="K186" s="74"/>
      <c r="L186" s="74"/>
      <c r="M186" s="74"/>
      <c r="N186" s="74"/>
      <c r="O186" s="74"/>
      <c r="P186" s="74"/>
      <c r="Q186" s="74"/>
    </row>
    <row r="187" spans="1:17" s="344" customFormat="1" hidden="1" x14ac:dyDescent="0.25">
      <c r="A187" s="81"/>
      <c r="B187" s="81"/>
      <c r="C187" s="74"/>
      <c r="D187" s="74"/>
      <c r="E187" s="74"/>
      <c r="F187" s="74"/>
      <c r="G187" s="74"/>
      <c r="H187" s="2"/>
      <c r="I187" s="2"/>
      <c r="J187" s="74"/>
      <c r="K187" s="74"/>
      <c r="L187" s="74"/>
      <c r="M187" s="74"/>
      <c r="N187" s="74"/>
      <c r="O187" s="74"/>
      <c r="P187" s="74"/>
      <c r="Q187" s="74"/>
    </row>
    <row r="188" spans="1:17" s="344" customFormat="1" hidden="1" x14ac:dyDescent="0.25">
      <c r="A188" s="81"/>
      <c r="B188" s="81"/>
      <c r="C188" s="74"/>
      <c r="D188" s="74"/>
      <c r="E188" s="74"/>
      <c r="F188" s="74"/>
      <c r="G188" s="74"/>
      <c r="H188" s="2"/>
      <c r="I188" s="2"/>
      <c r="J188" s="74"/>
      <c r="K188" s="74"/>
      <c r="L188" s="74"/>
      <c r="M188" s="74"/>
      <c r="N188" s="74"/>
      <c r="O188" s="74"/>
      <c r="P188" s="74"/>
      <c r="Q188" s="74"/>
    </row>
    <row r="189" spans="1:17" s="344" customFormat="1" hidden="1" x14ac:dyDescent="0.25">
      <c r="A189" s="81"/>
      <c r="B189" s="81"/>
      <c r="C189" s="74"/>
      <c r="D189" s="74"/>
      <c r="E189" s="74"/>
      <c r="F189" s="74"/>
      <c r="G189" s="74"/>
      <c r="H189" s="2"/>
      <c r="I189" s="2"/>
      <c r="J189" s="74"/>
      <c r="K189" s="74"/>
      <c r="L189" s="74"/>
      <c r="M189" s="74"/>
      <c r="N189" s="74"/>
      <c r="O189" s="74"/>
      <c r="P189" s="74"/>
      <c r="Q189" s="74"/>
    </row>
    <row r="190" spans="1:17" s="344" customFormat="1" hidden="1" x14ac:dyDescent="0.25">
      <c r="A190" s="81"/>
      <c r="B190" s="81"/>
      <c r="C190" s="74"/>
      <c r="D190" s="74"/>
      <c r="E190" s="74"/>
      <c r="F190" s="74"/>
      <c r="G190" s="74"/>
      <c r="H190" s="2"/>
      <c r="I190" s="2"/>
      <c r="J190" s="74"/>
      <c r="K190" s="74"/>
      <c r="L190" s="74"/>
      <c r="M190" s="74"/>
      <c r="N190" s="74"/>
      <c r="O190" s="74"/>
      <c r="P190" s="74"/>
      <c r="Q190" s="74"/>
    </row>
    <row r="191" spans="1:17" s="344" customFormat="1" hidden="1" x14ac:dyDescent="0.25">
      <c r="A191" s="81"/>
      <c r="B191" s="81"/>
      <c r="C191" s="74"/>
      <c r="D191" s="74"/>
      <c r="E191" s="74"/>
      <c r="F191" s="74"/>
      <c r="G191" s="74"/>
      <c r="H191" s="2"/>
      <c r="I191" s="2"/>
      <c r="J191" s="74"/>
      <c r="K191" s="74"/>
      <c r="L191" s="74"/>
      <c r="M191" s="74"/>
      <c r="N191" s="74"/>
      <c r="O191" s="74"/>
      <c r="P191" s="74"/>
      <c r="Q191" s="74"/>
    </row>
    <row r="192" spans="1:17" s="344" customFormat="1" hidden="1" x14ac:dyDescent="0.25">
      <c r="A192" s="78"/>
      <c r="B192" s="78"/>
      <c r="C192" s="74"/>
      <c r="D192" s="74"/>
      <c r="E192" s="74"/>
      <c r="F192" s="74"/>
      <c r="G192" s="74"/>
      <c r="H192" s="2"/>
      <c r="I192" s="2"/>
      <c r="J192" s="74"/>
      <c r="K192" s="74"/>
      <c r="L192" s="74"/>
      <c r="M192" s="74"/>
      <c r="N192" s="74"/>
      <c r="O192" s="74"/>
      <c r="P192" s="74"/>
      <c r="Q192" s="74"/>
    </row>
    <row r="193" spans="1:17" s="344" customFormat="1" hidden="1" x14ac:dyDescent="0.25">
      <c r="A193" s="78"/>
      <c r="B193" s="78"/>
      <c r="C193" s="74"/>
      <c r="D193" s="74"/>
      <c r="E193" s="74"/>
      <c r="F193" s="74"/>
      <c r="G193" s="74"/>
      <c r="H193" s="2"/>
      <c r="I193" s="2"/>
      <c r="J193" s="74"/>
      <c r="K193" s="74"/>
      <c r="L193" s="74"/>
      <c r="M193" s="74"/>
      <c r="N193" s="74"/>
      <c r="O193" s="74"/>
      <c r="P193" s="74"/>
      <c r="Q193" s="74"/>
    </row>
    <row r="194" spans="1:17" s="344" customFormat="1" hidden="1" x14ac:dyDescent="0.25">
      <c r="A194" s="78"/>
      <c r="B194" s="78"/>
      <c r="C194" s="74"/>
      <c r="D194" s="74"/>
      <c r="E194" s="74"/>
      <c r="F194" s="74"/>
      <c r="G194" s="74"/>
      <c r="H194" s="2"/>
      <c r="I194" s="2"/>
      <c r="J194" s="74"/>
      <c r="K194" s="74"/>
      <c r="L194" s="74"/>
      <c r="M194" s="74"/>
      <c r="N194" s="74"/>
      <c r="O194" s="74"/>
      <c r="P194" s="74"/>
      <c r="Q194" s="74"/>
    </row>
    <row r="195" spans="1:17" s="344" customFormat="1" hidden="1" x14ac:dyDescent="0.25">
      <c r="A195" s="78"/>
      <c r="B195" s="78"/>
      <c r="C195" s="74"/>
      <c r="D195" s="74"/>
      <c r="E195" s="74"/>
      <c r="F195" s="74"/>
      <c r="G195" s="74"/>
      <c r="H195" s="2"/>
      <c r="I195" s="2"/>
      <c r="J195" s="74"/>
      <c r="K195" s="74"/>
      <c r="L195" s="74"/>
      <c r="M195" s="74"/>
      <c r="N195" s="74"/>
      <c r="O195" s="74"/>
      <c r="P195" s="74"/>
      <c r="Q195" s="74"/>
    </row>
    <row r="196" spans="1:17" s="344" customFormat="1" hidden="1" x14ac:dyDescent="0.25">
      <c r="A196" s="78"/>
      <c r="B196" s="78"/>
      <c r="C196" s="74"/>
      <c r="D196" s="74"/>
      <c r="E196" s="74"/>
      <c r="F196" s="74"/>
      <c r="G196" s="74"/>
      <c r="H196" s="2"/>
      <c r="I196" s="2"/>
      <c r="J196" s="74"/>
      <c r="K196" s="74"/>
      <c r="L196" s="74"/>
      <c r="M196" s="74"/>
      <c r="N196" s="74"/>
      <c r="O196" s="74"/>
      <c r="P196" s="74"/>
      <c r="Q196" s="74"/>
    </row>
    <row r="197" spans="1:17" s="344" customFormat="1" hidden="1" x14ac:dyDescent="0.25">
      <c r="A197" s="78"/>
      <c r="B197" s="78"/>
      <c r="C197" s="74"/>
      <c r="D197" s="74"/>
      <c r="E197" s="74"/>
      <c r="F197" s="74"/>
      <c r="G197" s="74"/>
      <c r="H197" s="2"/>
      <c r="I197" s="2"/>
      <c r="J197" s="74"/>
      <c r="K197" s="74"/>
      <c r="L197" s="74"/>
      <c r="M197" s="74"/>
      <c r="N197" s="74"/>
      <c r="O197" s="74"/>
      <c r="P197" s="74"/>
      <c r="Q197" s="74"/>
    </row>
    <row r="198" spans="1:17" s="344" customFormat="1" hidden="1" x14ac:dyDescent="0.25">
      <c r="A198" s="78"/>
      <c r="B198" s="78"/>
      <c r="C198" s="74"/>
      <c r="D198" s="74"/>
      <c r="E198" s="74"/>
      <c r="F198" s="74"/>
      <c r="G198" s="74"/>
      <c r="H198" s="2"/>
      <c r="I198" s="2"/>
      <c r="J198" s="74"/>
      <c r="K198" s="74"/>
      <c r="L198" s="74"/>
      <c r="M198" s="74"/>
      <c r="N198" s="74"/>
      <c r="O198" s="74"/>
      <c r="P198" s="74"/>
      <c r="Q198" s="74"/>
    </row>
    <row r="199" spans="1:17" s="344" customFormat="1" hidden="1" x14ac:dyDescent="0.25">
      <c r="A199" s="78"/>
      <c r="B199" s="78"/>
      <c r="C199" s="74"/>
      <c r="D199" s="74"/>
      <c r="E199" s="74"/>
      <c r="F199" s="74"/>
      <c r="G199" s="74"/>
      <c r="H199" s="2"/>
      <c r="I199" s="2"/>
      <c r="J199" s="74"/>
      <c r="K199" s="74"/>
      <c r="L199" s="74"/>
      <c r="M199" s="74"/>
      <c r="N199" s="74"/>
      <c r="O199" s="74"/>
      <c r="P199" s="74"/>
      <c r="Q199" s="74"/>
    </row>
    <row r="200" spans="1:17" s="344" customFormat="1" hidden="1" x14ac:dyDescent="0.25">
      <c r="A200" s="78"/>
      <c r="B200" s="78"/>
      <c r="C200" s="74"/>
      <c r="D200" s="74"/>
      <c r="E200" s="74"/>
      <c r="F200" s="74"/>
      <c r="G200" s="74"/>
      <c r="H200" s="2"/>
      <c r="I200" s="2"/>
      <c r="J200" s="74"/>
      <c r="K200" s="74"/>
      <c r="L200" s="74"/>
      <c r="M200" s="74"/>
      <c r="N200" s="74"/>
      <c r="O200" s="74"/>
      <c r="P200" s="74"/>
      <c r="Q200" s="74"/>
    </row>
    <row r="201" spans="1:17" s="344" customFormat="1" hidden="1" x14ac:dyDescent="0.25">
      <c r="A201" s="78"/>
      <c r="B201" s="78"/>
      <c r="C201" s="74"/>
      <c r="D201" s="74"/>
      <c r="E201" s="74"/>
      <c r="F201" s="74"/>
      <c r="G201" s="74"/>
      <c r="H201" s="2"/>
      <c r="I201" s="2"/>
      <c r="J201" s="74"/>
      <c r="K201" s="74"/>
      <c r="L201" s="74"/>
      <c r="M201" s="74"/>
      <c r="N201" s="74"/>
      <c r="O201" s="74"/>
      <c r="P201" s="74"/>
      <c r="Q201" s="74"/>
    </row>
    <row r="202" spans="1:17" s="344" customFormat="1" hidden="1" x14ac:dyDescent="0.25">
      <c r="A202" s="78"/>
      <c r="B202" s="78"/>
      <c r="C202" s="74"/>
      <c r="D202" s="74"/>
      <c r="E202" s="74"/>
      <c r="F202" s="74"/>
      <c r="G202" s="74"/>
      <c r="H202" s="2"/>
      <c r="I202" s="2"/>
      <c r="J202" s="74"/>
      <c r="K202" s="74"/>
      <c r="L202" s="74"/>
      <c r="M202" s="74"/>
      <c r="N202" s="74"/>
      <c r="O202" s="74"/>
      <c r="P202" s="74"/>
      <c r="Q202" s="74"/>
    </row>
    <row r="203" spans="1:17" s="344" customFormat="1" hidden="1" x14ac:dyDescent="0.25">
      <c r="A203" s="78"/>
      <c r="B203" s="78"/>
      <c r="C203" s="74"/>
      <c r="D203" s="74"/>
      <c r="E203" s="74"/>
      <c r="F203" s="74"/>
      <c r="G203" s="74"/>
      <c r="H203" s="2"/>
      <c r="I203" s="2"/>
      <c r="J203" s="74"/>
      <c r="K203" s="74"/>
      <c r="L203" s="74"/>
      <c r="M203" s="74"/>
      <c r="N203" s="74"/>
      <c r="O203" s="74"/>
      <c r="P203" s="74"/>
      <c r="Q203" s="74"/>
    </row>
    <row r="204" spans="1:17" s="344" customFormat="1" hidden="1" x14ac:dyDescent="0.25">
      <c r="A204" s="78"/>
      <c r="B204" s="78"/>
      <c r="C204" s="74"/>
      <c r="D204" s="74"/>
      <c r="E204" s="74"/>
      <c r="F204" s="74"/>
      <c r="G204" s="74"/>
      <c r="H204" s="2"/>
      <c r="I204" s="2"/>
      <c r="J204" s="74"/>
      <c r="K204" s="74"/>
      <c r="L204" s="74"/>
      <c r="M204" s="74"/>
      <c r="N204" s="74"/>
      <c r="O204" s="74"/>
      <c r="P204" s="74"/>
      <c r="Q204" s="74"/>
    </row>
    <row r="205" spans="1:17" s="344" customFormat="1" hidden="1" x14ac:dyDescent="0.25">
      <c r="A205" s="78"/>
      <c r="B205" s="78"/>
      <c r="C205" s="74"/>
      <c r="D205" s="74"/>
      <c r="E205" s="74"/>
      <c r="F205" s="74"/>
      <c r="G205" s="74"/>
      <c r="H205" s="2"/>
      <c r="I205" s="2"/>
      <c r="J205" s="74"/>
      <c r="K205" s="74"/>
      <c r="L205" s="74"/>
      <c r="M205" s="74"/>
      <c r="N205" s="74"/>
      <c r="O205" s="74"/>
      <c r="P205" s="74"/>
      <c r="Q205" s="74"/>
    </row>
    <row r="206" spans="1:17" s="344" customFormat="1" hidden="1" x14ac:dyDescent="0.25">
      <c r="A206" s="78"/>
      <c r="B206" s="78"/>
      <c r="C206" s="74"/>
      <c r="D206" s="74"/>
      <c r="E206" s="74"/>
      <c r="F206" s="74"/>
      <c r="G206" s="74"/>
      <c r="H206" s="2"/>
      <c r="I206" s="2"/>
      <c r="J206" s="74"/>
      <c r="K206" s="74"/>
      <c r="L206" s="74"/>
      <c r="M206" s="74"/>
      <c r="N206" s="74"/>
      <c r="O206" s="74"/>
      <c r="P206" s="74"/>
      <c r="Q206" s="74"/>
    </row>
    <row r="207" spans="1:17" s="344" customFormat="1" hidden="1" x14ac:dyDescent="0.25">
      <c r="A207" s="78"/>
      <c r="B207" s="78"/>
      <c r="C207" s="74"/>
      <c r="D207" s="74"/>
      <c r="E207" s="74"/>
      <c r="F207" s="74"/>
      <c r="G207" s="74"/>
      <c r="H207" s="2"/>
      <c r="I207" s="2"/>
      <c r="J207" s="74"/>
      <c r="K207" s="74"/>
      <c r="L207" s="74"/>
      <c r="M207" s="74"/>
      <c r="N207" s="74"/>
      <c r="O207" s="74"/>
      <c r="P207" s="74"/>
      <c r="Q207" s="74"/>
    </row>
    <row r="208" spans="1:17" s="344" customFormat="1" hidden="1" x14ac:dyDescent="0.25">
      <c r="A208" s="78"/>
      <c r="B208" s="78"/>
      <c r="C208" s="74"/>
      <c r="D208" s="74"/>
      <c r="E208" s="74"/>
      <c r="F208" s="74"/>
      <c r="G208" s="74"/>
      <c r="H208" s="2"/>
      <c r="I208" s="2"/>
      <c r="J208" s="74"/>
      <c r="K208" s="74"/>
      <c r="L208" s="74"/>
      <c r="M208" s="74"/>
      <c r="N208" s="74"/>
      <c r="O208" s="74"/>
      <c r="P208" s="74"/>
      <c r="Q208" s="74"/>
    </row>
    <row r="209" spans="1:17" s="344" customFormat="1" hidden="1" x14ac:dyDescent="0.25">
      <c r="A209" s="78"/>
      <c r="B209" s="78"/>
      <c r="C209" s="74"/>
      <c r="D209" s="74"/>
      <c r="E209" s="74"/>
      <c r="F209" s="74"/>
      <c r="G209" s="74"/>
      <c r="H209" s="2"/>
      <c r="I209" s="2"/>
      <c r="J209" s="74"/>
      <c r="K209" s="74"/>
      <c r="L209" s="74"/>
      <c r="M209" s="74"/>
      <c r="N209" s="74"/>
      <c r="O209" s="74"/>
      <c r="P209" s="74"/>
      <c r="Q209" s="74"/>
    </row>
    <row r="210" spans="1:17" hidden="1" x14ac:dyDescent="0.2">
      <c r="A210" s="82"/>
      <c r="B210" s="82"/>
    </row>
    <row r="211" spans="1:17" hidden="1" x14ac:dyDescent="0.2">
      <c r="A211" s="82"/>
      <c r="B211" s="82"/>
    </row>
    <row r="212" spans="1:17" hidden="1" x14ac:dyDescent="0.2">
      <c r="A212" s="82"/>
      <c r="B212" s="82"/>
    </row>
    <row r="213" spans="1:17" hidden="1" x14ac:dyDescent="0.2">
      <c r="A213" s="82"/>
      <c r="B213" s="82"/>
    </row>
    <row r="214" spans="1:17" hidden="1" x14ac:dyDescent="0.2">
      <c r="A214" s="82"/>
      <c r="B214" s="82"/>
    </row>
    <row r="215" spans="1:17" hidden="1" x14ac:dyDescent="0.2">
      <c r="A215" s="82"/>
      <c r="B215" s="82"/>
    </row>
    <row r="216" spans="1:17" hidden="1" x14ac:dyDescent="0.2">
      <c r="A216" s="82"/>
      <c r="B216" s="82"/>
    </row>
    <row r="217" spans="1:17" hidden="1" x14ac:dyDescent="0.2">
      <c r="A217" s="82"/>
      <c r="B217" s="82"/>
    </row>
    <row r="218" spans="1:17" hidden="1" x14ac:dyDescent="0.2">
      <c r="A218" s="82"/>
      <c r="B218" s="82"/>
    </row>
    <row r="219" spans="1:17" hidden="1" x14ac:dyDescent="0.2">
      <c r="A219" s="82"/>
      <c r="B219" s="82"/>
    </row>
    <row r="220" spans="1:17" hidden="1" x14ac:dyDescent="0.2">
      <c r="A220" s="82"/>
      <c r="B220" s="82"/>
    </row>
    <row r="221" spans="1:17" hidden="1" x14ac:dyDescent="0.2">
      <c r="A221" s="82"/>
      <c r="B221" s="82"/>
    </row>
    <row r="222" spans="1:17" hidden="1" x14ac:dyDescent="0.2">
      <c r="A222" s="82"/>
      <c r="B222" s="82"/>
    </row>
    <row r="223" spans="1:17" hidden="1" x14ac:dyDescent="0.2">
      <c r="A223" s="82"/>
      <c r="B223" s="82"/>
    </row>
    <row r="224" spans="1:17" hidden="1" x14ac:dyDescent="0.2">
      <c r="A224" s="82"/>
      <c r="B224" s="82"/>
    </row>
    <row r="225" spans="1:2" hidden="1" x14ac:dyDescent="0.2">
      <c r="A225" s="82"/>
      <c r="B225" s="82"/>
    </row>
    <row r="226" spans="1:2" hidden="1" x14ac:dyDescent="0.2">
      <c r="A226" s="82"/>
      <c r="B226" s="82"/>
    </row>
    <row r="227" spans="1:2" hidden="1" x14ac:dyDescent="0.2">
      <c r="A227" s="82"/>
      <c r="B227" s="82"/>
    </row>
    <row r="228" spans="1:2" hidden="1" x14ac:dyDescent="0.2">
      <c r="A228" s="82"/>
      <c r="B228" s="82"/>
    </row>
    <row r="229" spans="1:2" hidden="1" x14ac:dyDescent="0.2">
      <c r="A229" s="82"/>
      <c r="B229" s="82"/>
    </row>
    <row r="230" spans="1:2" hidden="1" x14ac:dyDescent="0.2">
      <c r="A230" s="82"/>
      <c r="B230" s="82"/>
    </row>
    <row r="231" spans="1:2" hidden="1" x14ac:dyDescent="0.2">
      <c r="A231" s="82"/>
      <c r="B231" s="82"/>
    </row>
    <row r="232" spans="1:2" hidden="1" x14ac:dyDescent="0.2">
      <c r="A232" s="82"/>
      <c r="B232" s="82"/>
    </row>
    <row r="233" spans="1:2" hidden="1" x14ac:dyDescent="0.2">
      <c r="A233" s="82"/>
      <c r="B233" s="82"/>
    </row>
    <row r="234" spans="1:2" hidden="1" x14ac:dyDescent="0.2">
      <c r="A234" s="82"/>
      <c r="B234" s="82"/>
    </row>
    <row r="235" spans="1:2" hidden="1" x14ac:dyDescent="0.2">
      <c r="A235" s="82"/>
      <c r="B235" s="82"/>
    </row>
    <row r="236" spans="1:2" hidden="1" x14ac:dyDescent="0.2">
      <c r="A236" s="82"/>
      <c r="B236" s="82"/>
    </row>
    <row r="237" spans="1:2" hidden="1" x14ac:dyDescent="0.2">
      <c r="A237" s="82"/>
      <c r="B237" s="82"/>
    </row>
    <row r="238" spans="1:2" hidden="1" x14ac:dyDescent="0.2">
      <c r="A238" s="82"/>
      <c r="B238" s="82"/>
    </row>
    <row r="239" spans="1:2" hidden="1" x14ac:dyDescent="0.2">
      <c r="A239" s="82"/>
      <c r="B239" s="82"/>
    </row>
    <row r="240" spans="1:2" hidden="1" x14ac:dyDescent="0.2">
      <c r="A240" s="82"/>
      <c r="B240" s="82"/>
    </row>
    <row r="241" spans="1:2" hidden="1" x14ac:dyDescent="0.2">
      <c r="A241" s="82"/>
      <c r="B241" s="82"/>
    </row>
    <row r="242" spans="1:2" hidden="1" x14ac:dyDescent="0.2">
      <c r="A242" s="82"/>
      <c r="B242" s="82"/>
    </row>
    <row r="243" spans="1:2" hidden="1" x14ac:dyDescent="0.2">
      <c r="A243" s="82"/>
      <c r="B243" s="82"/>
    </row>
    <row r="244" spans="1:2" hidden="1" x14ac:dyDescent="0.2">
      <c r="A244" s="82"/>
      <c r="B244" s="82"/>
    </row>
    <row r="245" spans="1:2" hidden="1" x14ac:dyDescent="0.2">
      <c r="A245" s="82"/>
      <c r="B245" s="82"/>
    </row>
    <row r="246" spans="1:2" hidden="1" x14ac:dyDescent="0.2">
      <c r="A246" s="82"/>
      <c r="B246" s="82"/>
    </row>
    <row r="247" spans="1:2" hidden="1" x14ac:dyDescent="0.2">
      <c r="A247" s="82"/>
      <c r="B247" s="82"/>
    </row>
    <row r="248" spans="1:2" hidden="1" x14ac:dyDescent="0.2">
      <c r="A248" s="82"/>
      <c r="B248" s="82"/>
    </row>
    <row r="249" spans="1:2" hidden="1" x14ac:dyDescent="0.2">
      <c r="A249" s="82"/>
      <c r="B249" s="82"/>
    </row>
    <row r="250" spans="1:2" hidden="1" x14ac:dyDescent="0.2">
      <c r="A250" s="82"/>
      <c r="B250" s="82"/>
    </row>
    <row r="251" spans="1:2" hidden="1" x14ac:dyDescent="0.2">
      <c r="A251" s="82"/>
      <c r="B251" s="82"/>
    </row>
    <row r="252" spans="1:2" hidden="1" x14ac:dyDescent="0.2">
      <c r="A252" s="82"/>
      <c r="B252" s="82"/>
    </row>
    <row r="253" spans="1:2" hidden="1" x14ac:dyDescent="0.2">
      <c r="A253" s="82"/>
      <c r="B253" s="82"/>
    </row>
    <row r="254" spans="1:2" hidden="1" x14ac:dyDescent="0.2">
      <c r="A254" s="82"/>
      <c r="B254" s="82"/>
    </row>
    <row r="255" spans="1:2" hidden="1" x14ac:dyDescent="0.2">
      <c r="A255" s="82"/>
      <c r="B255" s="82"/>
    </row>
    <row r="256" spans="1:2" hidden="1" x14ac:dyDescent="0.2">
      <c r="A256" s="82"/>
      <c r="B256" s="82"/>
    </row>
    <row r="257" spans="1:2" hidden="1" x14ac:dyDescent="0.2">
      <c r="A257" s="82"/>
      <c r="B257" s="82"/>
    </row>
  </sheetData>
  <sheetProtection password="9A3D" sheet="1" objects="1" scenarios="1"/>
  <mergeCells count="32">
    <mergeCell ref="R16:R17"/>
    <mergeCell ref="S16:S17"/>
    <mergeCell ref="T16:T17"/>
    <mergeCell ref="U16:U17"/>
    <mergeCell ref="A6:G6"/>
    <mergeCell ref="A7:G7"/>
    <mergeCell ref="A9:G9"/>
    <mergeCell ref="A11:G11"/>
    <mergeCell ref="A12:G12"/>
    <mergeCell ref="K14:Q14"/>
    <mergeCell ref="A8:G8"/>
    <mergeCell ref="P15:P17"/>
    <mergeCell ref="Q15:Q17"/>
    <mergeCell ref="A16:A17"/>
    <mergeCell ref="B16:B17"/>
    <mergeCell ref="D16:D17"/>
    <mergeCell ref="A1:G1"/>
    <mergeCell ref="H1:I1"/>
    <mergeCell ref="A2:G2"/>
    <mergeCell ref="A3:G3"/>
    <mergeCell ref="A4:G4"/>
    <mergeCell ref="O15:O17"/>
    <mergeCell ref="E16:E17"/>
    <mergeCell ref="F16:F17"/>
    <mergeCell ref="G16:G17"/>
    <mergeCell ref="A15:G15"/>
    <mergeCell ref="K15:K17"/>
    <mergeCell ref="A5:G5"/>
    <mergeCell ref="A10:G10"/>
    <mergeCell ref="L15:L17"/>
    <mergeCell ref="M15:M17"/>
    <mergeCell ref="N15:N17"/>
  </mergeCells>
  <conditionalFormatting sqref="A7:B7 A9:B9">
    <cfRule type="expression" dxfId="42" priority="5">
      <formula>IF(J7="FAILED",TRUE,FALSE)</formula>
    </cfRule>
  </conditionalFormatting>
  <conditionalFormatting sqref="A18:A167">
    <cfRule type="expression" dxfId="41" priority="4">
      <formula>IF($Q18="FLAG",TRUE,FALSE)</formula>
    </cfRule>
  </conditionalFormatting>
  <conditionalFormatting sqref="C7 C9">
    <cfRule type="expression" dxfId="40" priority="7">
      <formula>IF(M7="FAILED",TRUE,FALSE)</formula>
    </cfRule>
  </conditionalFormatting>
  <conditionalFormatting sqref="G18:G167">
    <cfRule type="expression" dxfId="39" priority="3">
      <formula>IF(O18="YES",TRUE,FALSE)</formula>
    </cfRule>
    <cfRule type="expression" dxfId="38" priority="6">
      <formula>IF(P18="YES",TRUE,FALSE)</formula>
    </cfRule>
  </conditionalFormatting>
  <conditionalFormatting sqref="A8:B8">
    <cfRule type="expression" dxfId="37" priority="1">
      <formula>IF(J8="FAILED",TRUE,FALSE)</formula>
    </cfRule>
  </conditionalFormatting>
  <conditionalFormatting sqref="C8">
    <cfRule type="expression" dxfId="36" priority="2">
      <formula>IF(M8="FAILED",TRUE,FALSE)</formula>
    </cfRule>
  </conditionalFormatting>
  <dataValidations count="3">
    <dataValidation type="decimal" operator="greaterThanOrEqual" allowBlank="1" showInputMessage="1" showErrorMessage="1" sqref="F18:G167" xr:uid="{00000000-0002-0000-0300-000000000000}">
      <formula1>0</formula1>
    </dataValidation>
    <dataValidation type="list" allowBlank="1" showInputMessage="1" showErrorMessage="1" sqref="B18:B167" xr:uid="{00000000-0002-0000-0300-000001000000}">
      <formula1>FTF_course_type</formula1>
    </dataValidation>
    <dataValidation type="list" allowBlank="1" showInputMessage="1" showErrorMessage="1" sqref="E18:E167" xr:uid="{00000000-0002-0000-0300-000002000000}">
      <formula1>GEN_yes_no</formula1>
    </dataValidation>
  </dataValidations>
  <hyperlinks>
    <hyperlink ref="C17" r:id="rId1" xr:uid="{00000000-0004-0000-0300-000000000000}"/>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M588"/>
  <sheetViews>
    <sheetView tabSelected="1" topLeftCell="B1" zoomScaleNormal="100" workbookViewId="0">
      <selection activeCell="B13" sqref="B13:D13"/>
    </sheetView>
  </sheetViews>
  <sheetFormatPr defaultColWidth="0" defaultRowHeight="15" zeroHeight="1" x14ac:dyDescent="0.25"/>
  <cols>
    <col min="1" max="1" width="0" style="301" hidden="1" customWidth="1"/>
    <col min="2" max="2" width="32.140625" style="301" bestFit="1" customWidth="1"/>
    <col min="3" max="3" width="53.28515625" style="301" customWidth="1"/>
    <col min="4" max="4" width="59.7109375" style="301" customWidth="1"/>
    <col min="5" max="6" width="9.140625" style="301" hidden="1" customWidth="1"/>
    <col min="7" max="7" width="10.85546875" style="301" hidden="1" customWidth="1"/>
    <col min="8" max="12" width="9.140625" style="301" hidden="1" customWidth="1"/>
    <col min="13" max="13" width="34.85546875" style="301" hidden="1" customWidth="1"/>
    <col min="14" max="14" width="56.85546875" style="301" hidden="1" customWidth="1"/>
    <col min="15" max="15" width="12.140625" style="301" hidden="1" customWidth="1"/>
    <col min="16" max="18" width="9.140625" style="301" hidden="1" customWidth="1"/>
    <col min="19" max="19" width="37.28515625" style="301" hidden="1" customWidth="1"/>
    <col min="20" max="26" width="9.140625" style="301" hidden="1" customWidth="1"/>
    <col min="27" max="27" width="17.7109375" style="301" hidden="1" customWidth="1"/>
    <col min="28" max="33" width="9.140625" style="301" hidden="1" customWidth="1"/>
    <col min="34" max="34" width="57.5703125" style="301" hidden="1" customWidth="1"/>
    <col min="35" max="37" width="9.140625" style="301" hidden="1" customWidth="1"/>
    <col min="38" max="38" width="31.28515625" style="301" hidden="1" customWidth="1"/>
    <col min="39" max="16384" width="9.140625" style="301" hidden="1"/>
  </cols>
  <sheetData>
    <row r="1" spans="1:39" ht="18" customHeight="1" x14ac:dyDescent="0.25">
      <c r="A1" s="483"/>
      <c r="B1" s="594" t="s">
        <v>538</v>
      </c>
      <c r="C1" s="594"/>
      <c r="D1" s="643"/>
    </row>
    <row r="2" spans="1:39" x14ac:dyDescent="0.25">
      <c r="A2" s="601"/>
      <c r="B2" s="602"/>
      <c r="C2" s="602"/>
      <c r="D2" s="637"/>
    </row>
    <row r="3" spans="1:39" ht="15" customHeight="1" x14ac:dyDescent="0.25">
      <c r="B3" s="597" t="str">
        <f>Contact!A2</f>
        <v>Institution name: Derby College</v>
      </c>
      <c r="C3" s="598"/>
      <c r="D3" s="670"/>
    </row>
    <row r="4" spans="1:39" ht="15" customHeight="1" x14ac:dyDescent="0.25">
      <c r="B4" s="599" t="str">
        <f>Contact!A3</f>
        <v>Institution UKPRN: 10001919</v>
      </c>
      <c r="C4" s="600"/>
      <c r="D4" s="671"/>
      <c r="N4" s="301" t="str">
        <f>IF(COUNTIFS('FT Fee'!B22:B23,"First degree",'FT Fee'!H22:H23,"Yes")&gt;0,"YES","NO")</f>
        <v>YES</v>
      </c>
    </row>
    <row r="5" spans="1:39" ht="15" hidden="1" customHeight="1" x14ac:dyDescent="0.25">
      <c r="B5" s="607" t="s">
        <v>489</v>
      </c>
      <c r="C5" s="607"/>
      <c r="D5" s="607"/>
      <c r="G5" s="467" t="s">
        <v>11</v>
      </c>
    </row>
    <row r="6" spans="1:39" x14ac:dyDescent="0.25">
      <c r="A6" s="601"/>
      <c r="B6" s="602"/>
      <c r="C6" s="602"/>
      <c r="D6" s="637"/>
    </row>
    <row r="7" spans="1:39" ht="15" customHeight="1" x14ac:dyDescent="0.25">
      <c r="B7" s="586" t="s">
        <v>59</v>
      </c>
      <c r="C7" s="587"/>
      <c r="D7" s="672"/>
      <c r="E7" s="463"/>
      <c r="F7" s="463"/>
      <c r="G7" s="463" t="s">
        <v>484</v>
      </c>
      <c r="H7" s="463"/>
      <c r="I7" s="463"/>
      <c r="J7" s="463"/>
      <c r="K7" s="463"/>
    </row>
    <row r="8" spans="1:39" ht="15" customHeight="1" x14ac:dyDescent="0.25">
      <c r="B8" s="588" t="s">
        <v>542</v>
      </c>
      <c r="C8" s="589"/>
      <c r="D8" s="590"/>
      <c r="E8" s="464"/>
      <c r="F8" s="464"/>
      <c r="G8" s="464" t="str">
        <f>IF(COUNTBLANK(B13)=1,"FAILED","PASSED")</f>
        <v>PASSED</v>
      </c>
      <c r="H8" s="464"/>
      <c r="I8" s="464"/>
      <c r="J8" s="464"/>
      <c r="K8" s="464"/>
      <c r="N8" s="301" t="s">
        <v>410</v>
      </c>
    </row>
    <row r="9" spans="1:39" ht="30.75" customHeight="1" x14ac:dyDescent="0.25">
      <c r="A9" s="673" t="s">
        <v>540</v>
      </c>
      <c r="B9" s="673"/>
      <c r="C9" s="673"/>
      <c r="D9" s="674"/>
      <c r="AB9" s="301">
        <f>MAX($AG$10:$AG$161)</f>
        <v>12</v>
      </c>
    </row>
    <row r="10" spans="1:39" hidden="1" x14ac:dyDescent="0.25">
      <c r="A10" s="6" t="s">
        <v>1</v>
      </c>
      <c r="B10" s="442" t="s">
        <v>2</v>
      </c>
      <c r="C10" s="442" t="s">
        <v>473</v>
      </c>
      <c r="D10" s="443" t="s">
        <v>474</v>
      </c>
      <c r="E10" s="226" t="s">
        <v>11</v>
      </c>
      <c r="F10" s="414" t="s">
        <v>0</v>
      </c>
      <c r="M10" s="354" t="s">
        <v>282</v>
      </c>
      <c r="N10" s="354" t="s">
        <v>411</v>
      </c>
      <c r="O10" s="354"/>
      <c r="S10" s="301" t="s">
        <v>500</v>
      </c>
      <c r="T10" s="301">
        <f>AB22+1</f>
        <v>24</v>
      </c>
      <c r="U10" s="301" t="s">
        <v>412</v>
      </c>
      <c r="X10" s="301" t="s">
        <v>413</v>
      </c>
      <c r="AA10" s="301" t="s">
        <v>499</v>
      </c>
      <c r="AB10" s="301">
        <f>O17+1</f>
        <v>12</v>
      </c>
      <c r="AC10" s="301" t="s">
        <v>412</v>
      </c>
      <c r="AG10" s="301">
        <v>12</v>
      </c>
      <c r="AH10" s="301" t="s">
        <v>414</v>
      </c>
      <c r="AI10" s="301">
        <f>AB10</f>
        <v>12</v>
      </c>
      <c r="AL10" s="301" t="s">
        <v>488</v>
      </c>
    </row>
    <row r="11" spans="1:39" ht="24" customHeight="1" x14ac:dyDescent="0.25">
      <c r="B11" s="661" t="s">
        <v>539</v>
      </c>
      <c r="C11" s="662"/>
      <c r="D11" s="663"/>
      <c r="E11" s="226"/>
      <c r="F11" s="414"/>
      <c r="M11" s="336" t="s">
        <v>259</v>
      </c>
      <c r="N11" s="355" t="str">
        <f>IF(COUNTIFS('FT Fee'!$B$22:$B$171,M11,'FT Fee'!$H$22:$H$171,"Yes")&gt;0,"YES","NO")</f>
        <v>YES</v>
      </c>
      <c r="O11" s="355">
        <v>2</v>
      </c>
      <c r="S11" s="336" t="s">
        <v>259</v>
      </c>
      <c r="T11" s="301">
        <f>T10+1</f>
        <v>25</v>
      </c>
      <c r="U11" s="301" t="str">
        <f>IF(COUNTIFS('PT Fee'!$B$18:$B$167,$S11,'PT Fee'!$E$18:$E$167,"Yes")&gt;0,"YES","NO")</f>
        <v>NO</v>
      </c>
      <c r="X11" s="301" t="s">
        <v>115</v>
      </c>
      <c r="AA11" s="336" t="s">
        <v>259</v>
      </c>
      <c r="AB11" s="301">
        <f>IF(AC11="NO",MAX($AB$9:$AB10)+1,"")</f>
        <v>13</v>
      </c>
      <c r="AC11" s="301" t="str">
        <f>IF(COUNTIFS('FT Fee (Franchise)'!$B$19:$B$168,$AA11,'FT Fee (Franchise)'!$I$19:$I$168,"Yes")&gt;0,"YES","NO")</f>
        <v>NO</v>
      </c>
      <c r="AG11" s="301" t="str">
        <f>IF(AH11="","",AG10+1)</f>
        <v/>
      </c>
      <c r="AH11" s="457" t="str">
        <f t="array" ref="AH11">IF(IFERROR(INDEX($AM$11:$AM$177, MATCH(0,COUNTIF($AH$10:AH10,$AM$11:$AM$177), 0)),"")=0,"",IFERROR(INDEX($AM$11:$AM$177, MATCH(0,COUNTIF($AH$10:AH10,$AM$11:$AM$177), 0)),""))</f>
        <v/>
      </c>
      <c r="AI11" s="301" t="str">
        <f>IF(AH11="","",AI10+1)</f>
        <v/>
      </c>
      <c r="AK11" s="469" t="str">
        <f>IF('FT Fee (Franchise)'!C19="","",MAX(AK$10:AK10)+1)</f>
        <v/>
      </c>
      <c r="AL11" s="470" t="str">
        <f>IF(AND('FT Fee (Franchise)'!C19="",'FT Fee (Franchise)'!I19=""),"",'FT Fee (Franchise)'!C19)</f>
        <v/>
      </c>
      <c r="AM11" s="471" t="str">
        <f t="shared" ref="AM11:AM42" si="0">IFERROR(INDEX($AL$11:$AL$177,MATCH(ROW()-ROW($AM$10),$AK$11:$AK$177,0)),"")</f>
        <v/>
      </c>
    </row>
    <row r="12" spans="1:39" ht="22.5" customHeight="1" x14ac:dyDescent="0.25">
      <c r="B12" s="664" t="s">
        <v>497</v>
      </c>
      <c r="C12" s="665"/>
      <c r="D12" s="666"/>
      <c r="E12" s="226"/>
      <c r="F12" s="414"/>
      <c r="M12" s="336" t="s">
        <v>263</v>
      </c>
      <c r="N12" s="355" t="str">
        <f>IF(COUNTIFS('FT Fee'!$B$22:$B$171,M12,'FT Fee'!$H$22:$H$171,"Yes")&gt;0,"YES","NO")</f>
        <v>YES</v>
      </c>
      <c r="O12" s="355">
        <v>3</v>
      </c>
      <c r="S12" s="336" t="s">
        <v>263</v>
      </c>
      <c r="T12" s="301">
        <f t="shared" ref="T12:T16" si="1">T11+1</f>
        <v>26</v>
      </c>
      <c r="U12" s="301" t="str">
        <f>IF(COUNTIFS('PT Fee'!$B$18:$B$167,$S12,'PT Fee'!$E$18:$E$167,"Yes")&gt;0,"YES","NO")</f>
        <v>YES</v>
      </c>
      <c r="AA12" s="336" t="s">
        <v>263</v>
      </c>
      <c r="AB12" s="301">
        <f>IF(AC12="NO",MAX($AB$9:$AB11)+1,"")</f>
        <v>14</v>
      </c>
      <c r="AC12" s="301" t="str">
        <f>IF(COUNTIFS('FT Fee (Franchise)'!$B$19:$B$168,$AA12,'FT Fee (Franchise)'!$I$19:$I$168,"Yes")&gt;0,"YES","NO")</f>
        <v>NO</v>
      </c>
      <c r="AG12" s="301" t="str">
        <f t="shared" ref="AG12:AG75" si="2">IF(AH12="","",AG11+1)</f>
        <v/>
      </c>
      <c r="AH12" s="457" t="str">
        <f t="array" ref="AH12">IF(IFERROR(INDEX($AM$11:$AM$177, MATCH(0,COUNTIF($AH$10:AH11,$AM$11:$AM$177), 0)),"")=0,"",IFERROR(INDEX($AM$11:$AM$177, MATCH(0,COUNTIF($AH$10:AH11,$AM$11:$AM$177), 0)),""))</f>
        <v/>
      </c>
      <c r="AI12" s="301" t="str">
        <f t="shared" ref="AI12:AI75" si="3">IF(AH12="","",AI11+1)</f>
        <v/>
      </c>
      <c r="AK12" s="469" t="str">
        <f>IF('FT Fee (Franchise)'!C20="","",MAX(AK$10:AK11)+1)</f>
        <v/>
      </c>
      <c r="AL12" s="470" t="str">
        <f>IF(AND('FT Fee (Franchise)'!C20="",'FT Fee (Franchise)'!I20=""),"",'FT Fee (Franchise)'!C20)</f>
        <v/>
      </c>
      <c r="AM12" s="471" t="str">
        <f t="shared" si="0"/>
        <v/>
      </c>
    </row>
    <row r="13" spans="1:39" ht="55.5" customHeight="1" x14ac:dyDescent="0.25">
      <c r="A13" s="484"/>
      <c r="B13" s="667" t="s">
        <v>603</v>
      </c>
      <c r="C13" s="668"/>
      <c r="D13" s="669"/>
      <c r="E13" s="226"/>
      <c r="F13" s="414"/>
      <c r="G13" s="467" t="s">
        <v>491</v>
      </c>
      <c r="M13" s="336" t="s">
        <v>266</v>
      </c>
      <c r="N13" s="355" t="str">
        <f>IF(COUNTIFS('FT Fee'!$B$22:$B$171,M13,'FT Fee'!$H$22:$H$171,"Yes")&gt;0,"YES","NO")</f>
        <v>NO</v>
      </c>
      <c r="O13" s="355">
        <v>4</v>
      </c>
      <c r="S13" s="336" t="s">
        <v>266</v>
      </c>
      <c r="T13" s="301">
        <f>T12+1</f>
        <v>27</v>
      </c>
      <c r="U13" s="301" t="str">
        <f>IF(COUNTIFS('PT Fee'!$B$18:$B$167,$S13,'PT Fee'!$E$18:$E$167,"Yes")&gt;0,"YES","NO")</f>
        <v>NO</v>
      </c>
      <c r="AA13" s="336" t="s">
        <v>266</v>
      </c>
      <c r="AB13" s="301">
        <f>IF(AC13="NO",MAX($AB$9:$AB12)+1,"")</f>
        <v>15</v>
      </c>
      <c r="AC13" s="301" t="str">
        <f>IF(COUNTIFS('FT Fee (Franchise)'!$B$19:$B$168,$AA13,'FT Fee (Franchise)'!$I$19:$I$168,"Yes")&gt;0,"YES","NO")</f>
        <v>NO</v>
      </c>
      <c r="AG13" s="301" t="str">
        <f>IF(AH13="","",AG12+1)</f>
        <v/>
      </c>
      <c r="AH13" s="457" t="str">
        <f t="array" ref="AH13">IF(IFERROR(INDEX($AM$11:$AM$177, MATCH(0,COUNTIF($AH$10:AH12,$AM$11:$AM$177), 0)),"")=0,"",IFERROR(INDEX($AM$11:$AM$177, MATCH(0,COUNTIF($AH$10:AH12,$AM$11:$AM$177), 0)),""))</f>
        <v/>
      </c>
      <c r="AI13" s="301" t="str">
        <f>IF(AH13="","",AI12+1)</f>
        <v/>
      </c>
      <c r="AK13" s="469" t="str">
        <f>IF('FT Fee (Franchise)'!C21="","",MAX(AK$10:AK12)+1)</f>
        <v/>
      </c>
      <c r="AL13" s="470" t="str">
        <f>IF(AND('FT Fee (Franchise)'!C21="",'FT Fee (Franchise)'!I21=""),"",'FT Fee (Franchise)'!C21)</f>
        <v/>
      </c>
      <c r="AM13" s="471" t="str">
        <f t="shared" si="0"/>
        <v/>
      </c>
    </row>
    <row r="14" spans="1:39" ht="18.75" x14ac:dyDescent="0.25">
      <c r="A14" s="70">
        <v>1</v>
      </c>
      <c r="B14" s="396" t="str">
        <f t="shared" ref="B14:B45" si="4">IF(ISERROR(IF(VLOOKUP(A14,$K$23:$O$473,3,FALSE)=0,"No course type selected on the FEE sheet.",VLOOKUP(A14,$K$23:$O$473,3,FALSE)))=TRUE,"",IF(VLOOKUP(A14,$K$23:$O$473,3,FALSE)=0,"No course type selected on the FEE sheet.",VLOOKUP(A14,$K$23:$O$473,3,FALSE)))</f>
        <v>Full-time course type:</v>
      </c>
      <c r="C14" s="468" t="str">
        <f>IF(ISERROR(IF(VLOOKUP(A14,$K$23:$O$473,4,FALSE)=0,"",VLOOKUP(A14,$K$23:$O$473,4,FALSE)))=TRUE,"",IF(VLOOKUP(A14,$K$23:$O$473,4,FALSE)=0,"",VLOOKUP(A14,$K$23:$O$473,4,FALSE)))</f>
        <v>Additional information:</v>
      </c>
      <c r="D14" s="399" t="str">
        <f t="shared" ref="D14:D77" si="5">IF(ISERROR(VLOOKUP(A14,$K$23:$O$473,5,FALSE))=TRUE,"",VLOOKUP(A14,$K$23:$O$473,5,FALSE))</f>
        <v>Course fee:</v>
      </c>
      <c r="E14" s="413">
        <v>3</v>
      </c>
      <c r="F14" s="414">
        <v>1</v>
      </c>
      <c r="M14" s="336" t="s">
        <v>267</v>
      </c>
      <c r="N14" s="355" t="str">
        <f>IF(COUNTIFS('FT Fee'!$B$22:$B$171,M14,'FT Fee'!$H$22:$H$171,"Yes")&gt;0,"YES","NO")</f>
        <v>NO</v>
      </c>
      <c r="O14" s="355">
        <v>5</v>
      </c>
      <c r="S14" s="336" t="s">
        <v>267</v>
      </c>
      <c r="T14" s="301">
        <f t="shared" si="1"/>
        <v>28</v>
      </c>
      <c r="U14" s="301" t="str">
        <f>IF(COUNTIFS('PT Fee'!$B$18:$B$167,$S14,'PT Fee'!$E$18:$E$167,"Yes")&gt;0,"YES","NO")</f>
        <v>YES</v>
      </c>
      <c r="AA14" s="336" t="s">
        <v>267</v>
      </c>
      <c r="AB14" s="301">
        <f>IF(AC14="NO",MAX($AB$9:$AB13)+1,"")</f>
        <v>16</v>
      </c>
      <c r="AC14" s="301" t="str">
        <f>IF(COUNTIFS('FT Fee (Franchise)'!$B$19:$B$168,$AA14,'FT Fee (Franchise)'!$I$19:$I$168,"Yes")&gt;0,"YES","NO")</f>
        <v>NO</v>
      </c>
      <c r="AG14" s="301" t="str">
        <f t="shared" si="2"/>
        <v/>
      </c>
      <c r="AH14" s="457" t="str">
        <f t="array" ref="AH14">IF(IFERROR(INDEX($AM$11:$AM$177, MATCH(0,COUNTIF($AH$10:AH13,$AM$11:$AM$177), 0)),"")=0,"",IFERROR(INDEX($AM$11:$AM$177, MATCH(0,COUNTIF($AH$10:AH13,$AM$11:$AM$177), 0)),""))</f>
        <v/>
      </c>
      <c r="AI14" s="301" t="str">
        <f t="shared" si="3"/>
        <v/>
      </c>
      <c r="AK14" s="469" t="str">
        <f>IF('FT Fee (Franchise)'!C22="","",MAX(AK$10:AK13)+1)</f>
        <v/>
      </c>
      <c r="AL14" s="470" t="str">
        <f>IF(AND('FT Fee (Franchise)'!C22="",'FT Fee (Franchise)'!I22=""),"",'FT Fee (Franchise)'!C22)</f>
        <v/>
      </c>
      <c r="AM14" s="471" t="str">
        <f t="shared" si="0"/>
        <v/>
      </c>
    </row>
    <row r="15" spans="1:39" ht="18.75" x14ac:dyDescent="0.25">
      <c r="A15" s="71">
        <v>2</v>
      </c>
      <c r="B15" s="356" t="str">
        <f t="shared" si="4"/>
        <v>First degree</v>
      </c>
      <c r="C15" s="476" t="str">
        <f t="shared" ref="C15:C78" si="6">IF(ISERROR(IF(VLOOKUP(A15,$K$23:$O$473,4,FALSE)=0,"",VLOOKUP(A15,$K$23:$O$473,4,FALSE)))=TRUE,"",IF(VLOOKUP(A15,$K$23:$O$473,4,FALSE)=0,"",VLOOKUP(A15,$K$23:$O$473,4,FALSE)))</f>
        <v xml:space="preserve">We will be charging a higher fee rate for STEM subjects </v>
      </c>
      <c r="D15" s="398">
        <f t="shared" si="5"/>
        <v>7999</v>
      </c>
      <c r="E15" s="413">
        <v>3</v>
      </c>
      <c r="F15" s="414">
        <v>2</v>
      </c>
      <c r="M15" s="336" t="s">
        <v>268</v>
      </c>
      <c r="N15" s="355" t="str">
        <f>IF(COUNTIFS('FT Fee'!$B$22:$B$171,M15,'FT Fee'!$H$22:$H$171,"Yes")&gt;0,"YES","NO")</f>
        <v>NO</v>
      </c>
      <c r="O15" s="355">
        <v>6</v>
      </c>
      <c r="S15" s="336" t="s">
        <v>268</v>
      </c>
      <c r="T15" s="301">
        <f t="shared" si="1"/>
        <v>29</v>
      </c>
      <c r="U15" s="301" t="str">
        <f>IF(COUNTIFS('PT Fee'!$B$18:$B$167,$S15,'PT Fee'!$E$18:$E$167,"Yes")&gt;0,"YES","NO")</f>
        <v>YES</v>
      </c>
      <c r="AA15" s="336" t="s">
        <v>268</v>
      </c>
      <c r="AB15" s="301">
        <f>IF(AC15="NO",MAX($AB$9:$AB14)+1,"")</f>
        <v>17</v>
      </c>
      <c r="AC15" s="301" t="str">
        <f>IF(COUNTIFS('FT Fee (Franchise)'!$B$19:$B$168,$AA15,'FT Fee (Franchise)'!$I$19:$I$168,"Yes")&gt;0,"YES","NO")</f>
        <v>NO</v>
      </c>
      <c r="AG15" s="301" t="str">
        <f t="shared" si="2"/>
        <v/>
      </c>
      <c r="AH15" s="457" t="str">
        <f t="array" ref="AH15">IF(IFERROR(INDEX($AM$11:$AM$177, MATCH(0,COUNTIF($AH$10:AH14,$AM$11:$AM$177), 0)),"")=0,"",IFERROR(INDEX($AM$11:$AM$177, MATCH(0,COUNTIF($AH$10:AH14,$AM$11:$AM$177), 0)),""))</f>
        <v/>
      </c>
      <c r="AI15" s="301" t="str">
        <f t="shared" si="3"/>
        <v/>
      </c>
      <c r="AK15" s="469" t="str">
        <f>IF('FT Fee (Franchise)'!C23="","",MAX(AK$10:AK14)+1)</f>
        <v/>
      </c>
      <c r="AL15" s="470" t="str">
        <f>IF(AND('FT Fee (Franchise)'!C23="",'FT Fee (Franchise)'!I23=""),"",'FT Fee (Franchise)'!C23)</f>
        <v/>
      </c>
      <c r="AM15" s="471" t="str">
        <f t="shared" si="0"/>
        <v/>
      </c>
    </row>
    <row r="16" spans="1:39" ht="18.75" x14ac:dyDescent="0.25">
      <c r="A16" s="71">
        <v>3</v>
      </c>
      <c r="B16" s="477" t="str">
        <f t="shared" si="4"/>
        <v>First degree</v>
      </c>
      <c r="C16" s="478" t="str">
        <f t="shared" si="6"/>
        <v/>
      </c>
      <c r="D16" s="479">
        <f t="shared" si="5"/>
        <v>6165</v>
      </c>
      <c r="E16" s="413">
        <v>3</v>
      </c>
      <c r="F16" s="414">
        <v>3</v>
      </c>
      <c r="M16" s="336" t="s">
        <v>269</v>
      </c>
      <c r="N16" s="355" t="str">
        <f>IF(COUNTIFS('FT Fee'!$B$22:$B$171,M16,'FT Fee'!$H$22:$H$171,"Yes")&gt;0,"YES","NO")</f>
        <v>NO</v>
      </c>
      <c r="O16" s="355">
        <v>7</v>
      </c>
      <c r="S16" s="336" t="s">
        <v>269</v>
      </c>
      <c r="T16" s="301">
        <f t="shared" si="1"/>
        <v>30</v>
      </c>
      <c r="U16" s="301" t="str">
        <f>IF(COUNTIFS('PT Fee'!$B$18:$B$167,$S16,'PT Fee'!$E$18:$E$167,"Yes")&gt;0,"YES","NO")</f>
        <v>YES</v>
      </c>
      <c r="AA16" s="336" t="s">
        <v>269</v>
      </c>
      <c r="AB16" s="301">
        <f>IF(AC16="NO",MAX($AB$9:$AB15)+1,"")</f>
        <v>18</v>
      </c>
      <c r="AC16" s="301" t="str">
        <f>IF(COUNTIFS('FT Fee (Franchise)'!$B$19:$B$168,$AA16,'FT Fee (Franchise)'!$I$19:$I$168,"Yes")&gt;0,"YES","NO")</f>
        <v>NO</v>
      </c>
      <c r="AG16" s="301" t="str">
        <f t="shared" si="2"/>
        <v/>
      </c>
      <c r="AH16" s="457" t="str">
        <f t="array" ref="AH16">IF(IFERROR(INDEX($AM$11:$AM$177, MATCH(0,COUNTIF($AH$10:AH15,$AM$11:$AM$177), 0)),"")=0,"",IFERROR(INDEX($AM$11:$AM$177, MATCH(0,COUNTIF($AH$10:AH15,$AM$11:$AM$177), 0)),""))</f>
        <v/>
      </c>
      <c r="AI16" s="301" t="str">
        <f t="shared" si="3"/>
        <v/>
      </c>
      <c r="AK16" s="469" t="str">
        <f>IF('FT Fee (Franchise)'!C24="","",MAX(AK$10:AK15)+1)</f>
        <v/>
      </c>
      <c r="AL16" s="470" t="str">
        <f>IF(AND('FT Fee (Franchise)'!C24="",'FT Fee (Franchise)'!I24=""),"",'FT Fee (Franchise)'!C24)</f>
        <v/>
      </c>
      <c r="AM16" s="471" t="str">
        <f t="shared" si="0"/>
        <v/>
      </c>
    </row>
    <row r="17" spans="1:39" ht="18.75" x14ac:dyDescent="0.25">
      <c r="A17" s="71">
        <v>4</v>
      </c>
      <c r="B17" s="477" t="str">
        <f t="shared" si="4"/>
        <v>Foundation degree</v>
      </c>
      <c r="C17" s="478" t="str">
        <f t="shared" si="6"/>
        <v>We will be charging a higher fee rate for STEM subjects</v>
      </c>
      <c r="D17" s="479">
        <f t="shared" si="5"/>
        <v>7999</v>
      </c>
      <c r="E17" s="413">
        <v>3</v>
      </c>
      <c r="F17" s="414">
        <v>4</v>
      </c>
      <c r="M17" s="336" t="s">
        <v>270</v>
      </c>
      <c r="N17" s="355" t="str">
        <f>IF(COUNTIFS('FT Fee'!$B$22:$B$171,M17,'FT Fee'!$H$22:$H$171,"Yes")&gt;0,"YES","NO")</f>
        <v>NO</v>
      </c>
      <c r="O17" s="355">
        <v>11</v>
      </c>
      <c r="S17" s="336" t="s">
        <v>270</v>
      </c>
      <c r="T17" s="301">
        <f>T19+1</f>
        <v>34</v>
      </c>
      <c r="U17" s="301" t="str">
        <f>IF(COUNTIFS('PT Fee'!$B$18:$B$167,$S17,'PT Fee'!$E$18:$E$167,"Yes")&gt;0,"YES","NO")</f>
        <v>NO</v>
      </c>
      <c r="AA17" s="328" t="s">
        <v>445</v>
      </c>
      <c r="AB17" s="301">
        <f>IF(AC17="NO",MAX($AB$9:$AB16)+1,"")</f>
        <v>19</v>
      </c>
      <c r="AC17" s="301" t="str">
        <f>IF(COUNTIFS('FT Fee (Franchise)'!$B$19:$B$168,$AA17,'FT Fee (Franchise)'!$I$19:$I$168,"Yes")&gt;0,"YES","NO")</f>
        <v>NO</v>
      </c>
      <c r="AG17" s="301" t="str">
        <f t="shared" si="2"/>
        <v/>
      </c>
      <c r="AH17" s="457" t="str">
        <f t="array" ref="AH17">IF(IFERROR(INDEX($AM$11:$AM$177, MATCH(0,COUNTIF($AH$10:AH16,$AM$11:$AM$177), 0)),"")=0,"",IFERROR(INDEX($AM$11:$AM$177, MATCH(0,COUNTIF($AH$10:AH16,$AM$11:$AM$177), 0)),""))</f>
        <v/>
      </c>
      <c r="AI17" s="301" t="str">
        <f t="shared" si="3"/>
        <v/>
      </c>
      <c r="AK17" s="469" t="str">
        <f>IF('FT Fee (Franchise)'!C25="","",MAX(AK$10:AK16)+1)</f>
        <v/>
      </c>
      <c r="AL17" s="470" t="str">
        <f>IF(AND('FT Fee (Franchise)'!C25="",'FT Fee (Franchise)'!I25=""),"",'FT Fee (Franchise)'!C25)</f>
        <v/>
      </c>
      <c r="AM17" s="471" t="str">
        <f t="shared" si="0"/>
        <v/>
      </c>
    </row>
    <row r="18" spans="1:39" ht="18.75" x14ac:dyDescent="0.25">
      <c r="A18" s="70">
        <v>5</v>
      </c>
      <c r="B18" s="477" t="str">
        <f t="shared" si="4"/>
        <v>Foundation degree</v>
      </c>
      <c r="C18" s="478" t="str">
        <f t="shared" si="6"/>
        <v/>
      </c>
      <c r="D18" s="479">
        <f t="shared" si="5"/>
        <v>6165</v>
      </c>
      <c r="E18" s="413">
        <v>3</v>
      </c>
      <c r="F18" s="414">
        <v>5</v>
      </c>
      <c r="M18" s="336" t="s">
        <v>496</v>
      </c>
      <c r="N18" s="355" t="str">
        <f>IF(COUNTIFS('FT Fee'!$B$22:$B$171,M18,'FT Fee'!$H$22:$H$171,"Yes")&gt;0,"YES","NO")</f>
        <v>NO</v>
      </c>
      <c r="O18" s="355">
        <v>9</v>
      </c>
      <c r="S18" s="336" t="s">
        <v>496</v>
      </c>
      <c r="T18" s="301">
        <f>T20+1</f>
        <v>32</v>
      </c>
      <c r="U18" s="301" t="str">
        <f>IF(COUNTIFS('PT Fee'!$B$18:$B$167,$S18,'PT Fee'!$E$18:$E$167,"Yes")&gt;0,"YES","NO")</f>
        <v>NO</v>
      </c>
      <c r="AA18" s="336" t="s">
        <v>496</v>
      </c>
      <c r="AB18" s="301">
        <f>IF(AC18="NO",MAX($AB$9:$AB17)+1,"")</f>
        <v>20</v>
      </c>
      <c r="AC18" s="301" t="str">
        <f>IF(COUNTIFS('FT Fee (Franchise)'!$B$19:$B$168,$AA18,'FT Fee (Franchise)'!$I$19:$I$168,"Yes")&gt;0,"YES","NO")</f>
        <v>NO</v>
      </c>
      <c r="AG18" s="301" t="str">
        <f t="shared" si="2"/>
        <v/>
      </c>
      <c r="AH18" s="457" t="str">
        <f t="array" ref="AH18">IF(IFERROR(INDEX($AM$11:$AM$177, MATCH(0,COUNTIF($AH$10:AH17,$AM$11:$AM$177), 0)),"")=0,"",IFERROR(INDEX($AM$11:$AM$177, MATCH(0,COUNTIF($AH$10:AH17,$AM$11:$AM$177), 0)),""))</f>
        <v/>
      </c>
      <c r="AI18" s="301" t="str">
        <f t="shared" si="3"/>
        <v/>
      </c>
      <c r="AK18" s="469" t="str">
        <f>IF('FT Fee (Franchise)'!C26="","",MAX(AK$10:AK17)+1)</f>
        <v/>
      </c>
      <c r="AL18" s="470" t="str">
        <f>IF(AND('FT Fee (Franchise)'!C26="",'FT Fee (Franchise)'!I26=""),"",'FT Fee (Franchise)'!C26)</f>
        <v/>
      </c>
      <c r="AM18" s="471" t="str">
        <f t="shared" si="0"/>
        <v/>
      </c>
    </row>
    <row r="19" spans="1:39" ht="18.75" x14ac:dyDescent="0.25">
      <c r="A19" s="71">
        <v>6</v>
      </c>
      <c r="B19" s="477" t="str">
        <f t="shared" si="4"/>
        <v>Foundation year / Year 0</v>
      </c>
      <c r="C19" s="478" t="str">
        <f t="shared" si="6"/>
        <v/>
      </c>
      <c r="D19" s="479" t="str">
        <f t="shared" si="5"/>
        <v>*</v>
      </c>
      <c r="E19" s="413">
        <v>3</v>
      </c>
      <c r="F19" s="414">
        <v>6</v>
      </c>
      <c r="M19" s="336" t="s">
        <v>265</v>
      </c>
      <c r="N19" s="355" t="str">
        <f>IF(COUNTIFS('FT Fee'!$B$22:$B$171,M19,'FT Fee'!$H$22:$H$171,"Yes")&gt;0,"YES","NO")</f>
        <v>NO</v>
      </c>
      <c r="O19" s="355">
        <v>10</v>
      </c>
      <c r="S19" s="336" t="s">
        <v>265</v>
      </c>
      <c r="T19" s="301">
        <f>T18+1</f>
        <v>33</v>
      </c>
      <c r="U19" s="301" t="str">
        <f>IF(COUNTIFS('PT Fee'!$B$18:$B$167,$S19,'PT Fee'!$E$18:$E$167,"Yes")&gt;0,"YES","NO")</f>
        <v>NO</v>
      </c>
      <c r="AA19" s="336" t="s">
        <v>265</v>
      </c>
      <c r="AB19" s="301">
        <f>IF(AC19="NO",MAX($AB$9:$AB18)+1,"")</f>
        <v>21</v>
      </c>
      <c r="AC19" s="301" t="str">
        <f>IF(COUNTIFS('FT Fee (Franchise)'!$B$19:$B$168,$AA19,'FT Fee (Franchise)'!$I$19:$I$168,"Yes")&gt;0,"YES","NO")</f>
        <v>NO</v>
      </c>
      <c r="AG19" s="301" t="str">
        <f t="shared" si="2"/>
        <v/>
      </c>
      <c r="AH19" s="457" t="str">
        <f t="array" ref="AH19">IF(IFERROR(INDEX($AM$11:$AM$177, MATCH(0,COUNTIF($AH$10:AH18,$AM$11:$AM$177), 0)),"")=0,"",IFERROR(INDEX($AM$11:$AM$177, MATCH(0,COUNTIF($AH$10:AH18,$AM$11:$AM$177), 0)),""))</f>
        <v/>
      </c>
      <c r="AI19" s="301" t="str">
        <f t="shared" si="3"/>
        <v/>
      </c>
      <c r="AK19" s="469" t="str">
        <f>IF('FT Fee (Franchise)'!C27="","",MAX(AK$10:AK18)+1)</f>
        <v/>
      </c>
      <c r="AL19" s="470" t="str">
        <f>IF(AND('FT Fee (Franchise)'!C27="",'FT Fee (Franchise)'!I27=""),"",'FT Fee (Franchise)'!C27)</f>
        <v/>
      </c>
      <c r="AM19" s="471" t="str">
        <f t="shared" si="0"/>
        <v/>
      </c>
    </row>
    <row r="20" spans="1:39" ht="18.75" x14ac:dyDescent="0.25">
      <c r="A20" s="71">
        <v>7</v>
      </c>
      <c r="B20" s="477" t="str">
        <f t="shared" si="4"/>
        <v>HNC / HND</v>
      </c>
      <c r="C20" s="478" t="str">
        <f t="shared" si="6"/>
        <v/>
      </c>
      <c r="D20" s="479" t="str">
        <f t="shared" si="5"/>
        <v>*</v>
      </c>
      <c r="E20" s="413">
        <v>3</v>
      </c>
      <c r="F20" s="414">
        <v>7</v>
      </c>
      <c r="M20" s="328" t="s">
        <v>445</v>
      </c>
      <c r="N20" s="355" t="str">
        <f>IF(COUNTIFS('FT Fee'!$B$22:$B$171,M20,'FT Fee'!$H$22:$H$171,"Yes")&gt;0,"YES","NO")</f>
        <v>NO</v>
      </c>
      <c r="O20" s="355">
        <v>8</v>
      </c>
      <c r="S20" s="328" t="s">
        <v>445</v>
      </c>
      <c r="T20" s="301">
        <f>T16+1</f>
        <v>31</v>
      </c>
      <c r="U20" s="301" t="str">
        <f>IF(COUNTIFS('PT Fee'!$B$18:$B$167,$S20,'PT Fee'!$E$18:$E$167,"Yes")&gt;0,"YES","NO")</f>
        <v>NO</v>
      </c>
      <c r="AA20" s="328" t="s">
        <v>270</v>
      </c>
      <c r="AB20" s="301">
        <f>IF(AC20="NO",MAX($AB$9:$AB19)+1,"")</f>
        <v>22</v>
      </c>
      <c r="AC20" s="301" t="str">
        <f>IF(COUNTIFS('FT Fee (Franchise)'!$B$19:$B$168,$AA20,'FT Fee (Franchise)'!$I$19:$I$168,"Yes")&gt;0,"YES","NO")</f>
        <v>NO</v>
      </c>
      <c r="AG20" s="301" t="str">
        <f t="shared" si="2"/>
        <v/>
      </c>
      <c r="AH20" s="457" t="str">
        <f t="array" ref="AH20">IF(IFERROR(INDEX($AM$11:$AM$177, MATCH(0,COUNTIF($AH$10:AH19,$AM$11:$AM$177), 0)),"")=0,"",IFERROR(INDEX($AM$11:$AM$177, MATCH(0,COUNTIF($AH$10:AH19,$AM$11:$AM$177), 0)),""))</f>
        <v/>
      </c>
      <c r="AI20" s="301" t="str">
        <f t="shared" si="3"/>
        <v/>
      </c>
      <c r="AK20" s="469" t="str">
        <f>IF('FT Fee (Franchise)'!C28="","",MAX(AK$10:AK19)+1)</f>
        <v/>
      </c>
      <c r="AL20" s="470" t="str">
        <f>IF(AND('FT Fee (Franchise)'!C28="",'FT Fee (Franchise)'!I28=""),"",'FT Fee (Franchise)'!C28)</f>
        <v/>
      </c>
      <c r="AM20" s="471" t="str">
        <f t="shared" si="0"/>
        <v/>
      </c>
    </row>
    <row r="21" spans="1:39" ht="18.75" x14ac:dyDescent="0.25">
      <c r="A21" s="71">
        <v>8</v>
      </c>
      <c r="B21" s="477" t="str">
        <f t="shared" si="4"/>
        <v>CertHE / DipHE</v>
      </c>
      <c r="C21" s="478" t="str">
        <f t="shared" si="6"/>
        <v/>
      </c>
      <c r="D21" s="479" t="str">
        <f t="shared" si="5"/>
        <v>*</v>
      </c>
      <c r="E21" s="413">
        <v>3</v>
      </c>
      <c r="F21" s="414">
        <v>8</v>
      </c>
      <c r="M21" s="458" t="s">
        <v>498</v>
      </c>
      <c r="O21" s="355">
        <v>1</v>
      </c>
      <c r="S21" s="458"/>
      <c r="AA21" s="458"/>
      <c r="AG21" s="301" t="str">
        <f t="shared" si="2"/>
        <v/>
      </c>
      <c r="AH21" s="457" t="str">
        <f t="array" ref="AH21">IF(IFERROR(INDEX($AM$11:$AM$177, MATCH(0,COUNTIF($AH$10:AH20,$AM$11:$AM$177), 0)),"")=0,"",IFERROR(INDEX($AM$11:$AM$177, MATCH(0,COUNTIF($AH$10:AH20,$AM$11:$AM$177), 0)),""))</f>
        <v/>
      </c>
      <c r="AI21" s="301" t="str">
        <f t="shared" si="3"/>
        <v/>
      </c>
      <c r="AK21" s="469" t="str">
        <f>IF('FT Fee (Franchise)'!C29="","",MAX(AK$10:AK20)+1)</f>
        <v/>
      </c>
      <c r="AL21" s="470" t="str">
        <f>IF(AND('FT Fee (Franchise)'!C29="",'FT Fee (Franchise)'!I29=""),"",'FT Fee (Franchise)'!C29)</f>
        <v/>
      </c>
      <c r="AM21" s="471" t="str">
        <f t="shared" si="0"/>
        <v/>
      </c>
    </row>
    <row r="22" spans="1:39" ht="18.75" x14ac:dyDescent="0.25">
      <c r="A22" s="70">
        <v>9</v>
      </c>
      <c r="B22" s="477" t="str">
        <f t="shared" si="4"/>
        <v>Postgraduate ITT</v>
      </c>
      <c r="C22" s="478" t="str">
        <f t="shared" si="6"/>
        <v/>
      </c>
      <c r="D22" s="479" t="str">
        <f t="shared" si="5"/>
        <v>*</v>
      </c>
      <c r="E22" s="413">
        <v>3</v>
      </c>
      <c r="F22" s="414">
        <v>9</v>
      </c>
      <c r="M22" s="355" t="s">
        <v>255</v>
      </c>
      <c r="N22" s="301" t="s">
        <v>26</v>
      </c>
      <c r="O22" s="301" t="s">
        <v>8</v>
      </c>
      <c r="AB22" s="301">
        <f>MAX(AB9:AB21)+1</f>
        <v>23</v>
      </c>
      <c r="AG22" s="301" t="str">
        <f t="shared" si="2"/>
        <v/>
      </c>
      <c r="AH22" s="457" t="str">
        <f t="array" ref="AH22">IF(IFERROR(INDEX($AM$11:$AM$177, MATCH(0,COUNTIF($AH$10:AH21,$AM$11:$AM$177), 0)),"")=0,"",IFERROR(INDEX($AM$11:$AM$177, MATCH(0,COUNTIF($AH$10:AH21,$AM$11:$AM$177), 0)),""))</f>
        <v/>
      </c>
      <c r="AI22" s="301" t="str">
        <f t="shared" si="3"/>
        <v/>
      </c>
      <c r="AK22" s="469" t="str">
        <f>IF('FT Fee (Franchise)'!C30="","",MAX(AK$10:AK21)+1)</f>
        <v/>
      </c>
      <c r="AL22" s="470" t="str">
        <f>IF(AND('FT Fee (Franchise)'!C30="",'FT Fee (Franchise)'!I30=""),"",'FT Fee (Franchise)'!C30)</f>
        <v/>
      </c>
      <c r="AM22" s="471" t="str">
        <f t="shared" si="0"/>
        <v/>
      </c>
    </row>
    <row r="23" spans="1:39" ht="18.75" x14ac:dyDescent="0.25">
      <c r="A23" s="71">
        <v>10</v>
      </c>
      <c r="B23" s="477" t="str">
        <f t="shared" si="4"/>
        <v>Accelerated degree</v>
      </c>
      <c r="C23" s="478" t="str">
        <f t="shared" si="6"/>
        <v/>
      </c>
      <c r="D23" s="479" t="str">
        <f t="shared" si="5"/>
        <v>*</v>
      </c>
      <c r="E23" s="413">
        <v>3</v>
      </c>
      <c r="F23" s="414">
        <v>10</v>
      </c>
      <c r="K23" s="301" t="str">
        <f>IF(ISERROR(RANK(L23,$L$23:$L$473,1)+COUNTIF($L$23:L23,L23)-1)=TRUE,"",RANK(L23,$L$23:$L$473,1)+COUNTIF($L$23:L23,L23)-1)</f>
        <v/>
      </c>
      <c r="L23" s="301" t="str">
        <f t="shared" ref="L23:L33" si="7">IF(ISERROR(VLOOKUP(M23,$M$11:$M$21,1,FALSE))=TRUE,"",VLOOKUP(M23,$M$11:$P$21,3,FALSE))</f>
        <v/>
      </c>
      <c r="M23" s="336" t="str">
        <f>IF(N11="YES","","First degree")</f>
        <v/>
      </c>
      <c r="O23" s="301" t="s">
        <v>541</v>
      </c>
      <c r="T23" s="301" t="str">
        <f>IF(S11="YES","","No FT First degree courses listed.")</f>
        <v>No FT First degree courses listed.</v>
      </c>
      <c r="AG23" s="301" t="str">
        <f t="shared" si="2"/>
        <v/>
      </c>
      <c r="AH23" s="457" t="str">
        <f t="array" ref="AH23">IF(IFERROR(INDEX($AM$11:$AM$177, MATCH(0,COUNTIF($AH$10:AH22,$AM$11:$AM$177), 0)),"")=0,"",IFERROR(INDEX($AM$11:$AM$177, MATCH(0,COUNTIF($AH$10:AH22,$AM$11:$AM$177), 0)),""))</f>
        <v/>
      </c>
      <c r="AI23" s="301" t="str">
        <f t="shared" si="3"/>
        <v/>
      </c>
      <c r="AK23" s="469" t="str">
        <f>IF('FT Fee (Franchise)'!C31="","",MAX(AK$10:AK22)+1)</f>
        <v/>
      </c>
      <c r="AL23" s="470" t="str">
        <f>IF(AND('FT Fee (Franchise)'!C31="",'FT Fee (Franchise)'!I31=""),"",'FT Fee (Franchise)'!C31)</f>
        <v/>
      </c>
      <c r="AM23" s="471" t="str">
        <f t="shared" si="0"/>
        <v/>
      </c>
    </row>
    <row r="24" spans="1:39" ht="18.75" x14ac:dyDescent="0.25">
      <c r="A24" s="71">
        <v>11</v>
      </c>
      <c r="B24" s="477" t="str">
        <f t="shared" si="4"/>
        <v>Sandwich year</v>
      </c>
      <c r="C24" s="478" t="str">
        <f t="shared" si="6"/>
        <v/>
      </c>
      <c r="D24" s="479" t="str">
        <f t="shared" si="5"/>
        <v>*</v>
      </c>
      <c r="E24" s="413">
        <v>3</v>
      </c>
      <c r="F24" s="414">
        <v>11</v>
      </c>
      <c r="K24" s="301" t="str">
        <f>IF(ISERROR(RANK(L24,$L$23:$L$473,1)+COUNTIF($L$23:L24,L24)-1)=TRUE,"",RANK(L24,$L$23:$L$473,1)+COUNTIF($L$23:L24,L24)-1)</f>
        <v/>
      </c>
      <c r="L24" s="301" t="str">
        <f t="shared" si="7"/>
        <v/>
      </c>
      <c r="M24" s="336" t="str">
        <f>IF(N12="YES","","Foundation degree")</f>
        <v/>
      </c>
      <c r="O24" s="301" t="s">
        <v>541</v>
      </c>
      <c r="T24" s="301" t="str">
        <f>IF(S12="YES","","No FT Foundation degree courses listed.")</f>
        <v>No FT Foundation degree courses listed.</v>
      </c>
      <c r="AG24" s="301" t="str">
        <f t="shared" si="2"/>
        <v/>
      </c>
      <c r="AH24" s="457" t="str">
        <f t="array" ref="AH24">IF(IFERROR(INDEX($AM$11:$AM$177, MATCH(0,COUNTIF($AH$10:AH23,$AM$11:$AM$177), 0)),"")=0,"",IFERROR(INDEX($AM$11:$AM$177, MATCH(0,COUNTIF($AH$10:AH23,$AM$11:$AM$177), 0)),""))</f>
        <v/>
      </c>
      <c r="AI24" s="301" t="str">
        <f t="shared" si="3"/>
        <v/>
      </c>
      <c r="AK24" s="469" t="str">
        <f>IF('FT Fee (Franchise)'!C32="","",MAX(AK$10:AK23)+1)</f>
        <v/>
      </c>
      <c r="AL24" s="470" t="str">
        <f>IF(AND('FT Fee (Franchise)'!C32="",'FT Fee (Franchise)'!I32=""),"",'FT Fee (Franchise)'!C32)</f>
        <v/>
      </c>
      <c r="AM24" s="471" t="str">
        <f t="shared" si="0"/>
        <v/>
      </c>
    </row>
    <row r="25" spans="1:39" ht="18.75" x14ac:dyDescent="0.25">
      <c r="A25" s="71">
        <v>12</v>
      </c>
      <c r="B25" s="477" t="str">
        <f t="shared" si="4"/>
        <v>Erasmus and overseas study years</v>
      </c>
      <c r="C25" s="478" t="str">
        <f t="shared" si="6"/>
        <v/>
      </c>
      <c r="D25" s="479" t="str">
        <f t="shared" si="5"/>
        <v>*</v>
      </c>
      <c r="E25" s="413">
        <v>3</v>
      </c>
      <c r="F25" s="414">
        <v>12</v>
      </c>
      <c r="K25" s="301">
        <f>IF(ISERROR(RANK(L25,$L$23:$L$473,1)+COUNTIF($L$23:L25,L25)-1)=TRUE,"",RANK(L25,$L$23:$L$473,1)+COUNTIF($L$23:L25,L25)-1)</f>
        <v>6</v>
      </c>
      <c r="L25" s="301">
        <f t="shared" si="7"/>
        <v>4</v>
      </c>
      <c r="M25" s="336" t="str">
        <f>IF(N13="YES","","Foundation year / Year 0")</f>
        <v>Foundation year / Year 0</v>
      </c>
      <c r="O25" s="301" t="s">
        <v>541</v>
      </c>
      <c r="T25" s="301" t="str">
        <f>IF(S13="YES","","No FT Foundation year / Year 0 courses listed.")</f>
        <v>No FT Foundation year / Year 0 courses listed.</v>
      </c>
      <c r="AG25" s="301" t="str">
        <f t="shared" si="2"/>
        <v/>
      </c>
      <c r="AH25" s="457" t="str">
        <f t="array" ref="AH25">IF(IFERROR(INDEX($AM$11:$AM$177, MATCH(0,COUNTIF($AH$10:AH24,$AM$11:$AM$177), 0)),"")=0,"",IFERROR(INDEX($AM$11:$AM$177, MATCH(0,COUNTIF($AH$10:AH24,$AM$11:$AM$177), 0)),""))</f>
        <v/>
      </c>
      <c r="AI25" s="301" t="str">
        <f t="shared" si="3"/>
        <v/>
      </c>
      <c r="AK25" s="469" t="str">
        <f>IF('FT Fee (Franchise)'!C33="","",MAX(AK$10:AK24)+1)</f>
        <v/>
      </c>
      <c r="AL25" s="470" t="str">
        <f>IF(AND('FT Fee (Franchise)'!C33="",'FT Fee (Franchise)'!I33=""),"",'FT Fee (Franchise)'!C33)</f>
        <v/>
      </c>
      <c r="AM25" s="471" t="str">
        <f t="shared" si="0"/>
        <v/>
      </c>
    </row>
    <row r="26" spans="1:39" ht="18.75" x14ac:dyDescent="0.25">
      <c r="A26" s="70">
        <v>13</v>
      </c>
      <c r="B26" s="477" t="str">
        <f t="shared" si="4"/>
        <v>Other</v>
      </c>
      <c r="C26" s="478" t="str">
        <f t="shared" si="6"/>
        <v/>
      </c>
      <c r="D26" s="479" t="str">
        <f t="shared" si="5"/>
        <v>*</v>
      </c>
      <c r="E26" s="413">
        <v>3</v>
      </c>
      <c r="F26" s="414">
        <v>13</v>
      </c>
      <c r="K26" s="301">
        <f>IF(ISERROR(RANK(L26,$L$23:$L$473,1)+COUNTIF($L$23:L26,L26)-1)=TRUE,"",RANK(L26,$L$23:$L$473,1)+COUNTIF($L$23:L26,L26)-1)</f>
        <v>7</v>
      </c>
      <c r="L26" s="301">
        <f t="shared" si="7"/>
        <v>5</v>
      </c>
      <c r="M26" s="336" t="str">
        <f>IF(N14="YES","","HNC / HND")</f>
        <v>HNC / HND</v>
      </c>
      <c r="O26" s="301" t="s">
        <v>541</v>
      </c>
      <c r="T26" s="301" t="str">
        <f>IF(S14="YES","","No FT HNC / HND courses listed.")</f>
        <v>No FT HNC / HND courses listed.</v>
      </c>
      <c r="AG26" s="301" t="str">
        <f t="shared" si="2"/>
        <v/>
      </c>
      <c r="AH26" s="457" t="str">
        <f t="array" ref="AH26">IF(IFERROR(INDEX($AM$11:$AM$177, MATCH(0,COUNTIF($AH$10:AH25,$AM$11:$AM$177), 0)),"")=0,"",IFERROR(INDEX($AM$11:$AM$177, MATCH(0,COUNTIF($AH$10:AH25,$AM$11:$AM$177), 0)),""))</f>
        <v/>
      </c>
      <c r="AI26" s="301" t="str">
        <f t="shared" si="3"/>
        <v/>
      </c>
      <c r="AK26" s="469" t="str">
        <f>IF('FT Fee (Franchise)'!C34="","",MAX(AK$10:AK25)+1)</f>
        <v/>
      </c>
      <c r="AL26" s="470" t="str">
        <f>IF(AND('FT Fee (Franchise)'!C34="",'FT Fee (Franchise)'!I34=""),"",'FT Fee (Franchise)'!C34)</f>
        <v/>
      </c>
      <c r="AM26" s="471" t="str">
        <f t="shared" si="0"/>
        <v/>
      </c>
    </row>
    <row r="27" spans="1:39" ht="18.75" x14ac:dyDescent="0.25">
      <c r="A27" s="71">
        <v>14</v>
      </c>
      <c r="B27" s="477" t="str">
        <f t="shared" si="4"/>
        <v>Franchise full-time course type:</v>
      </c>
      <c r="C27" s="478" t="str">
        <f t="shared" si="6"/>
        <v>Additional information:</v>
      </c>
      <c r="D27" s="479" t="str">
        <f t="shared" si="5"/>
        <v>Course fee:</v>
      </c>
      <c r="E27" s="413">
        <v>3</v>
      </c>
      <c r="F27" s="414">
        <v>14</v>
      </c>
      <c r="K27" s="301">
        <f>IF(ISERROR(RANK(L27,$L$23:$L$473,1)+COUNTIF($L$23:L27,L27)-1)=TRUE,"",RANK(L27,$L$23:$L$473,1)+COUNTIF($L$23:L27,L27)-1)</f>
        <v>8</v>
      </c>
      <c r="L27" s="301">
        <f t="shared" si="7"/>
        <v>6</v>
      </c>
      <c r="M27" s="336" t="str">
        <f>IF(N15="YES","","CertHE / DipHE")</f>
        <v>CertHE / DipHE</v>
      </c>
      <c r="O27" s="301" t="s">
        <v>541</v>
      </c>
      <c r="T27" s="301" t="str">
        <f>IF(S15="YES","","No FT CertHE / DipHE courses listed.")</f>
        <v>No FT CertHE / DipHE courses listed.</v>
      </c>
      <c r="AG27" s="301" t="str">
        <f t="shared" si="2"/>
        <v/>
      </c>
      <c r="AH27" s="457" t="str">
        <f t="array" ref="AH27">IF(IFERROR(INDEX($AM$11:$AM$177, MATCH(0,COUNTIF($AH$10:AH26,$AM$11:$AM$177), 0)),"")=0,"",IFERROR(INDEX($AM$11:$AM$177, MATCH(0,COUNTIF($AH$10:AH26,$AM$11:$AM$177), 0)),""))</f>
        <v/>
      </c>
      <c r="AI27" s="301" t="str">
        <f t="shared" si="3"/>
        <v/>
      </c>
      <c r="AK27" s="469" t="str">
        <f>IF('FT Fee (Franchise)'!C35="","",MAX(AK$10:AK26)+1)</f>
        <v/>
      </c>
      <c r="AL27" s="470" t="str">
        <f>IF(AND('FT Fee (Franchise)'!C35="",'FT Fee (Franchise)'!I35=""),"",'FT Fee (Franchise)'!C35)</f>
        <v/>
      </c>
      <c r="AM27" s="471" t="str">
        <f t="shared" si="0"/>
        <v/>
      </c>
    </row>
    <row r="28" spans="1:39" ht="18.75" x14ac:dyDescent="0.25">
      <c r="A28" s="71">
        <v>15</v>
      </c>
      <c r="B28" s="477" t="str">
        <f t="shared" si="4"/>
        <v>First degree</v>
      </c>
      <c r="C28" s="478" t="str">
        <f t="shared" si="6"/>
        <v/>
      </c>
      <c r="D28" s="479" t="str">
        <f t="shared" si="5"/>
        <v>*</v>
      </c>
      <c r="E28" s="413">
        <v>3</v>
      </c>
      <c r="F28" s="414">
        <v>15</v>
      </c>
      <c r="K28" s="301">
        <f>IF(ISERROR(RANK(L28,$L$23:$L$473,1)+COUNTIF($L$23:L28,L28)-1)=TRUE,"",RANK(L28,$L$23:$L$473,1)+COUNTIF($L$23:L28,L28)-1)</f>
        <v>9</v>
      </c>
      <c r="L28" s="301">
        <f t="shared" si="7"/>
        <v>7</v>
      </c>
      <c r="M28" s="336" t="str">
        <f>IF(N16="YES","","Postgraduate ITT")</f>
        <v>Postgraduate ITT</v>
      </c>
      <c r="O28" s="301" t="s">
        <v>541</v>
      </c>
      <c r="T28" s="301" t="str">
        <f>IF(S16="YES","","No FT Postgraduate ITT courses listed.")</f>
        <v>No FT Postgraduate ITT courses listed.</v>
      </c>
      <c r="AG28" s="301" t="str">
        <f t="shared" si="2"/>
        <v/>
      </c>
      <c r="AH28" s="457" t="str">
        <f t="array" ref="AH28">IF(IFERROR(INDEX($AM$11:$AM$177, MATCH(0,COUNTIF($AH$10:AH27,$AM$11:$AM$177), 0)),"")=0,"",IFERROR(INDEX($AM$11:$AM$177, MATCH(0,COUNTIF($AH$10:AH27,$AM$11:$AM$177), 0)),""))</f>
        <v/>
      </c>
      <c r="AI28" s="301" t="str">
        <f t="shared" si="3"/>
        <v/>
      </c>
      <c r="AK28" s="469" t="str">
        <f>IF('FT Fee (Franchise)'!C36="","",MAX(AK$10:AK27)+1)</f>
        <v/>
      </c>
      <c r="AL28" s="470" t="str">
        <f>IF(AND('FT Fee (Franchise)'!C36="",'FT Fee (Franchise)'!I36=""),"",'FT Fee (Franchise)'!C36)</f>
        <v/>
      </c>
      <c r="AM28" s="471" t="str">
        <f t="shared" si="0"/>
        <v/>
      </c>
    </row>
    <row r="29" spans="1:39" ht="18.75" x14ac:dyDescent="0.25">
      <c r="A29" s="71">
        <v>16</v>
      </c>
      <c r="B29" s="477" t="str">
        <f t="shared" si="4"/>
        <v>Foundation degree</v>
      </c>
      <c r="C29" s="478" t="str">
        <f t="shared" si="6"/>
        <v/>
      </c>
      <c r="D29" s="479" t="str">
        <f t="shared" si="5"/>
        <v>*</v>
      </c>
      <c r="E29" s="413">
        <v>3</v>
      </c>
      <c r="F29" s="414">
        <v>16</v>
      </c>
      <c r="K29" s="301">
        <f>IF(ISERROR(RANK(L29,$L$23:$L$473,1)+COUNTIF($L$23:L29,L29)-1)=TRUE,"",RANK(L29,$L$23:$L$473,1)+COUNTIF($L$23:L29,L29)-1)</f>
        <v>13</v>
      </c>
      <c r="L29" s="301">
        <f t="shared" si="7"/>
        <v>11</v>
      </c>
      <c r="M29" s="336" t="str">
        <f>IF(N17="YES","","Other")</f>
        <v>Other</v>
      </c>
      <c r="O29" s="301" t="s">
        <v>541</v>
      </c>
      <c r="T29" s="301" t="str">
        <f>IF(S17="YES","","No FT Other undergraduate courses listed.")</f>
        <v>No FT Other undergraduate courses listed.</v>
      </c>
      <c r="AG29" s="301" t="str">
        <f t="shared" si="2"/>
        <v/>
      </c>
      <c r="AH29" s="457" t="str">
        <f t="array" ref="AH29">IF(IFERROR(INDEX($AM$11:$AM$177, MATCH(0,COUNTIF($AH$10:AH28,$AM$11:$AM$177), 0)),"")=0,"",IFERROR(INDEX($AM$11:$AM$177, MATCH(0,COUNTIF($AH$10:AH28,$AM$11:$AM$177), 0)),""))</f>
        <v/>
      </c>
      <c r="AI29" s="301" t="str">
        <f t="shared" si="3"/>
        <v/>
      </c>
      <c r="AK29" s="469" t="str">
        <f>IF('FT Fee (Franchise)'!C37="","",MAX(AK$10:AK28)+1)</f>
        <v/>
      </c>
      <c r="AL29" s="470" t="str">
        <f>IF(AND('FT Fee (Franchise)'!C37="",'FT Fee (Franchise)'!I37=""),"",'FT Fee (Franchise)'!C37)</f>
        <v/>
      </c>
      <c r="AM29" s="471" t="str">
        <f t="shared" si="0"/>
        <v/>
      </c>
    </row>
    <row r="30" spans="1:39" ht="18.75" x14ac:dyDescent="0.25">
      <c r="A30" s="70">
        <v>17</v>
      </c>
      <c r="B30" s="477" t="str">
        <f t="shared" si="4"/>
        <v>Foundation year / Year 0</v>
      </c>
      <c r="C30" s="478" t="str">
        <f t="shared" si="6"/>
        <v/>
      </c>
      <c r="D30" s="479" t="str">
        <f t="shared" si="5"/>
        <v>*</v>
      </c>
      <c r="E30" s="413">
        <v>3</v>
      </c>
      <c r="F30" s="414">
        <v>17</v>
      </c>
      <c r="K30" s="301">
        <f>IF(ISERROR(RANK(L30,$L$23:$L$473,1)+COUNTIF($L$23:L30,L30)-1)=TRUE,"",RANK(L30,$L$23:$L$473,1)+COUNTIF($L$23:L30,L30)-1)</f>
        <v>11</v>
      </c>
      <c r="L30" s="301">
        <f t="shared" si="7"/>
        <v>9</v>
      </c>
      <c r="M30" s="336" t="str">
        <f>IF(N18="YES","","Sandwich year")</f>
        <v>Sandwich year</v>
      </c>
      <c r="O30" s="301" t="s">
        <v>541</v>
      </c>
      <c r="T30" s="301" t="str">
        <f>IF(S18="YES","","No FT Sandwich year courses listed.")</f>
        <v>No FT Sandwich year courses listed.</v>
      </c>
      <c r="AG30" s="301" t="str">
        <f t="shared" si="2"/>
        <v/>
      </c>
      <c r="AH30" s="457" t="str">
        <f t="array" ref="AH30">IF(IFERROR(INDEX($AM$11:$AM$177, MATCH(0,COUNTIF($AH$10:AH29,$AM$11:$AM$177), 0)),"")=0,"",IFERROR(INDEX($AM$11:$AM$177, MATCH(0,COUNTIF($AH$10:AH29,$AM$11:$AM$177), 0)),""))</f>
        <v/>
      </c>
      <c r="AI30" s="301" t="str">
        <f t="shared" si="3"/>
        <v/>
      </c>
      <c r="AK30" s="469" t="str">
        <f>IF('FT Fee (Franchise)'!C38="","",MAX(AK$10:AK29)+1)</f>
        <v/>
      </c>
      <c r="AL30" s="470" t="str">
        <f>IF(AND('FT Fee (Franchise)'!C38="",'FT Fee (Franchise)'!I38=""),"",'FT Fee (Franchise)'!C38)</f>
        <v/>
      </c>
      <c r="AM30" s="471" t="str">
        <f t="shared" si="0"/>
        <v/>
      </c>
    </row>
    <row r="31" spans="1:39" ht="18.75" x14ac:dyDescent="0.25">
      <c r="A31" s="71">
        <v>18</v>
      </c>
      <c r="B31" s="477" t="str">
        <f t="shared" si="4"/>
        <v>HNC / HND</v>
      </c>
      <c r="C31" s="478" t="str">
        <f t="shared" si="6"/>
        <v/>
      </c>
      <c r="D31" s="479" t="str">
        <f t="shared" si="5"/>
        <v>*</v>
      </c>
      <c r="E31" s="413">
        <v>3</v>
      </c>
      <c r="F31" s="414">
        <v>18</v>
      </c>
      <c r="K31" s="301">
        <f>IF(ISERROR(RANK(L31,$L$23:$L$473,1)+COUNTIF($L$23:L31,L31)-1)=TRUE,"",RANK(L31,$L$23:$L$473,1)+COUNTIF($L$23:L31,L31)-1)</f>
        <v>12</v>
      </c>
      <c r="L31" s="301">
        <f t="shared" si="7"/>
        <v>10</v>
      </c>
      <c r="M31" s="336" t="str">
        <f>IF(N19="YES","","Erasmus and overseas study years")</f>
        <v>Erasmus and overseas study years</v>
      </c>
      <c r="O31" s="301" t="s">
        <v>541</v>
      </c>
      <c r="T31" s="301" t="str">
        <f>IF(S19="YES","","No FT Erasmus and overseas study years listed.")</f>
        <v>No FT Erasmus and overseas study years listed.</v>
      </c>
      <c r="AG31" s="301" t="str">
        <f t="shared" si="2"/>
        <v/>
      </c>
      <c r="AH31" s="457" t="str">
        <f t="array" ref="AH31">IF(IFERROR(INDEX($AM$11:$AM$177, MATCH(0,COUNTIF($AH$10:AH30,$AM$11:$AM$177), 0)),"")=0,"",IFERROR(INDEX($AM$11:$AM$177, MATCH(0,COUNTIF($AH$10:AH30,$AM$11:$AM$177), 0)),""))</f>
        <v/>
      </c>
      <c r="AI31" s="301" t="str">
        <f t="shared" si="3"/>
        <v/>
      </c>
      <c r="AK31" s="469" t="str">
        <f>IF('FT Fee (Franchise)'!C39="","",MAX(AK$10:AK30)+1)</f>
        <v/>
      </c>
      <c r="AL31" s="470" t="str">
        <f>IF(AND('FT Fee (Franchise)'!C39="",'FT Fee (Franchise)'!I39=""),"",'FT Fee (Franchise)'!C39)</f>
        <v/>
      </c>
      <c r="AM31" s="471" t="str">
        <f t="shared" si="0"/>
        <v/>
      </c>
    </row>
    <row r="32" spans="1:39" ht="18.75" x14ac:dyDescent="0.25">
      <c r="A32" s="71">
        <v>19</v>
      </c>
      <c r="B32" s="477" t="str">
        <f t="shared" si="4"/>
        <v>CertHE / DipHE</v>
      </c>
      <c r="C32" s="478" t="str">
        <f t="shared" si="6"/>
        <v/>
      </c>
      <c r="D32" s="479" t="str">
        <f t="shared" si="5"/>
        <v>*</v>
      </c>
      <c r="E32" s="413">
        <v>3</v>
      </c>
      <c r="F32" s="414">
        <v>19</v>
      </c>
      <c r="K32" s="301">
        <f>IF(ISERROR(RANK(L32,$L$23:$L$473,1)+COUNTIF($L$23:L32,L32)-1)=TRUE,"",RANK(L32,$L$23:$L$473,1)+COUNTIF($L$23:L32,L32)-1)</f>
        <v>10</v>
      </c>
      <c r="L32" s="301">
        <f t="shared" si="7"/>
        <v>8</v>
      </c>
      <c r="M32" s="328" t="str">
        <f>IF(N20="YES","","Accelerated degree")</f>
        <v>Accelerated degree</v>
      </c>
      <c r="O32" s="301" t="s">
        <v>541</v>
      </c>
      <c r="T32" s="301" t="str">
        <f>IF(S20="YES","","No FT Accelerated degree courses listed.")</f>
        <v>No FT Accelerated degree courses listed.</v>
      </c>
      <c r="AG32" s="301" t="str">
        <f t="shared" si="2"/>
        <v/>
      </c>
      <c r="AH32" s="457" t="str">
        <f t="array" ref="AH32">IF(IFERROR(INDEX($AM$11:$AM$177, MATCH(0,COUNTIF($AH$10:AH31,$AM$11:$AM$177), 0)),"")=0,"",IFERROR(INDEX($AM$11:$AM$177, MATCH(0,COUNTIF($AH$10:AH31,$AM$11:$AM$177), 0)),""))</f>
        <v/>
      </c>
      <c r="AI32" s="301" t="str">
        <f t="shared" si="3"/>
        <v/>
      </c>
      <c r="AK32" s="469" t="str">
        <f>IF('FT Fee (Franchise)'!C40="","",MAX(AK$10:AK31)+1)</f>
        <v/>
      </c>
      <c r="AL32" s="470" t="str">
        <f>IF(AND('FT Fee (Franchise)'!C40="",'FT Fee (Franchise)'!I40=""),"",'FT Fee (Franchise)'!C40)</f>
        <v/>
      </c>
      <c r="AM32" s="471" t="str">
        <f t="shared" si="0"/>
        <v/>
      </c>
    </row>
    <row r="33" spans="1:39" ht="18.75" x14ac:dyDescent="0.25">
      <c r="A33" s="71">
        <v>20</v>
      </c>
      <c r="B33" s="477" t="str">
        <f t="shared" si="4"/>
        <v>Postgraduate ITT</v>
      </c>
      <c r="C33" s="478" t="str">
        <f t="shared" si="6"/>
        <v/>
      </c>
      <c r="D33" s="479" t="str">
        <f t="shared" si="5"/>
        <v>*</v>
      </c>
      <c r="E33" s="413">
        <v>3</v>
      </c>
      <c r="F33" s="414">
        <v>20</v>
      </c>
      <c r="K33" s="301">
        <f>IF(ISERROR(RANK(L33,$L$23:$L$473,1)+COUNTIF($L$23:L33,L33)-1)=TRUE,"",RANK(L33,$L$23:$L$473,1)+COUNTIF($L$23:L33,L33)-1)</f>
        <v>1</v>
      </c>
      <c r="L33" s="301">
        <f t="shared" si="7"/>
        <v>1</v>
      </c>
      <c r="M33" s="458" t="s">
        <v>498</v>
      </c>
      <c r="N33" s="458" t="s">
        <v>501</v>
      </c>
      <c r="O33" s="458" t="s">
        <v>502</v>
      </c>
      <c r="T33" s="458" t="s">
        <v>502</v>
      </c>
      <c r="AG33" s="301" t="str">
        <f t="shared" si="2"/>
        <v/>
      </c>
      <c r="AH33" s="457" t="str">
        <f t="array" ref="AH33">IF(IFERROR(INDEX($AM$11:$AM$177, MATCH(0,COUNTIF($AH$10:AH32,$AM$11:$AM$177), 0)),"")=0,"",IFERROR(INDEX($AM$11:$AM$177, MATCH(0,COUNTIF($AH$10:AH32,$AM$11:$AM$177), 0)),""))</f>
        <v/>
      </c>
      <c r="AI33" s="301" t="str">
        <f t="shared" si="3"/>
        <v/>
      </c>
      <c r="AK33" s="469" t="str">
        <f>IF('FT Fee (Franchise)'!C41="","",MAX(AK$10:AK32)+1)</f>
        <v/>
      </c>
      <c r="AL33" s="470" t="str">
        <f>IF(AND('FT Fee (Franchise)'!C41="",'FT Fee (Franchise)'!I41=""),"",'FT Fee (Franchise)'!C41)</f>
        <v/>
      </c>
      <c r="AM33" s="471" t="str">
        <f t="shared" si="0"/>
        <v/>
      </c>
    </row>
    <row r="34" spans="1:39" ht="18.75" x14ac:dyDescent="0.25">
      <c r="A34" s="70">
        <v>21</v>
      </c>
      <c r="B34" s="477" t="str">
        <f t="shared" si="4"/>
        <v>Accelerated degree</v>
      </c>
      <c r="C34" s="478" t="str">
        <f t="shared" si="6"/>
        <v/>
      </c>
      <c r="D34" s="479" t="str">
        <f t="shared" si="5"/>
        <v>*</v>
      </c>
      <c r="E34" s="413">
        <v>3</v>
      </c>
      <c r="F34" s="414">
        <v>21</v>
      </c>
      <c r="K34" s="301">
        <f>IF(ISERROR(RANK(L34,$L$23:$L$473,1)+COUNTIF($L$23:L34,L34)-1)=TRUE,"",RANK(L34,$L$23:$L$473,1)+COUNTIF($L$23:L34,L34)-1)</f>
        <v>14</v>
      </c>
      <c r="L34" s="301">
        <f t="shared" ref="L34:L44" si="8">IF(ISERROR(VLOOKUP(M34,$AA$10:$AA$21,1,FALSE))=TRUE,"",VLOOKUP(M34,$AA$10:$AC$21,2,FALSE))</f>
        <v>12</v>
      </c>
      <c r="M34" s="301" t="s">
        <v>499</v>
      </c>
      <c r="N34" s="301" t="s">
        <v>501</v>
      </c>
      <c r="O34" s="301" t="s">
        <v>502</v>
      </c>
      <c r="T34" s="301" t="s">
        <v>502</v>
      </c>
      <c r="AG34" s="301" t="str">
        <f t="shared" si="2"/>
        <v/>
      </c>
      <c r="AH34" s="457" t="str">
        <f t="array" ref="AH34">IF(IFERROR(INDEX($AM$11:$AM$177, MATCH(0,COUNTIF($AH$10:AH33,$AM$11:$AM$177), 0)),"")=0,"",IFERROR(INDEX($AM$11:$AM$177, MATCH(0,COUNTIF($AH$10:AH33,$AM$11:$AM$177), 0)),""))</f>
        <v/>
      </c>
      <c r="AI34" s="301" t="str">
        <f t="shared" si="3"/>
        <v/>
      </c>
      <c r="AK34" s="469" t="str">
        <f>IF('FT Fee (Franchise)'!C42="","",MAX(AK$10:AK33)+1)</f>
        <v/>
      </c>
      <c r="AL34" s="470" t="str">
        <f>IF(AND('FT Fee (Franchise)'!C42="",'FT Fee (Franchise)'!I42=""),"",'FT Fee (Franchise)'!C42)</f>
        <v/>
      </c>
      <c r="AM34" s="471" t="str">
        <f t="shared" si="0"/>
        <v/>
      </c>
    </row>
    <row r="35" spans="1:39" ht="18.75" x14ac:dyDescent="0.25">
      <c r="A35" s="71">
        <v>22</v>
      </c>
      <c r="B35" s="477" t="str">
        <f t="shared" si="4"/>
        <v>Sandwich year</v>
      </c>
      <c r="C35" s="478" t="str">
        <f t="shared" si="6"/>
        <v/>
      </c>
      <c r="D35" s="479" t="str">
        <f t="shared" si="5"/>
        <v>*</v>
      </c>
      <c r="E35" s="413">
        <v>3</v>
      </c>
      <c r="F35" s="414">
        <v>22</v>
      </c>
      <c r="K35" s="301">
        <f>IF(ISERROR(RANK(L35,$L$23:$L$473,1)+COUNTIF($L$23:L35,L35)-1)=TRUE,"",RANK(L35,$L$23:$L$473,1)+COUNTIF($L$23:L35,L35)-1)</f>
        <v>15</v>
      </c>
      <c r="L35" s="301">
        <f t="shared" si="8"/>
        <v>13</v>
      </c>
      <c r="M35" s="336" t="str">
        <f>IF(AC11="YES","","First degree")</f>
        <v>First degree</v>
      </c>
      <c r="O35" s="301" t="s">
        <v>541</v>
      </c>
      <c r="T35" s="301" t="str">
        <f>IF(AH11="YES","","No FT Franchise First degree courses listed.")</f>
        <v>No FT Franchise First degree courses listed.</v>
      </c>
      <c r="AG35" s="301" t="str">
        <f t="shared" si="2"/>
        <v/>
      </c>
      <c r="AH35" s="457" t="str">
        <f t="array" ref="AH35">IF(IFERROR(INDEX($AM$11:$AM$177, MATCH(0,COUNTIF($AH$10:AH34,$AM$11:$AM$177), 0)),"")=0,"",IFERROR(INDEX($AM$11:$AM$177, MATCH(0,COUNTIF($AH$10:AH34,$AM$11:$AM$177), 0)),""))</f>
        <v/>
      </c>
      <c r="AI35" s="301" t="str">
        <f t="shared" si="3"/>
        <v/>
      </c>
      <c r="AK35" s="469" t="str">
        <f>IF('FT Fee (Franchise)'!C43="","",MAX(AK$10:AK34)+1)</f>
        <v/>
      </c>
      <c r="AL35" s="470" t="str">
        <f>IF(AND('FT Fee (Franchise)'!C43="",'FT Fee (Franchise)'!I43=""),"",'FT Fee (Franchise)'!C43)</f>
        <v/>
      </c>
      <c r="AM35" s="471" t="str">
        <f t="shared" si="0"/>
        <v/>
      </c>
    </row>
    <row r="36" spans="1:39" ht="18.75" x14ac:dyDescent="0.25">
      <c r="A36" s="71">
        <v>23</v>
      </c>
      <c r="B36" s="477" t="str">
        <f t="shared" si="4"/>
        <v>Erasmus and overseas study years</v>
      </c>
      <c r="C36" s="478" t="str">
        <f t="shared" si="6"/>
        <v/>
      </c>
      <c r="D36" s="479" t="str">
        <f t="shared" si="5"/>
        <v>*</v>
      </c>
      <c r="E36" s="413">
        <v>3</v>
      </c>
      <c r="F36" s="414">
        <v>23</v>
      </c>
      <c r="K36" s="301">
        <f>IF(ISERROR(RANK(L36,$L$23:$L$473,1)+COUNTIF($L$23:L36,L36)-1)=TRUE,"",RANK(L36,$L$23:$L$473,1)+COUNTIF($L$23:L36,L36)-1)</f>
        <v>16</v>
      </c>
      <c r="L36" s="301">
        <f t="shared" si="8"/>
        <v>14</v>
      </c>
      <c r="M36" s="336" t="str">
        <f>IF(AC12="YES","","Foundation degree")</f>
        <v>Foundation degree</v>
      </c>
      <c r="O36" s="301" t="s">
        <v>541</v>
      </c>
      <c r="T36" s="301" t="str">
        <f>IF(AH12="YES","","No FT Franchise Foundation degree courses listed.")</f>
        <v>No FT Franchise Foundation degree courses listed.</v>
      </c>
      <c r="AG36" s="301" t="str">
        <f t="shared" si="2"/>
        <v/>
      </c>
      <c r="AH36" s="457" t="str">
        <f t="array" ref="AH36">IF(IFERROR(INDEX($AM$11:$AM$177, MATCH(0,COUNTIF($AH$10:AH35,$AM$11:$AM$177), 0)),"")=0,"",IFERROR(INDEX($AM$11:$AM$177, MATCH(0,COUNTIF($AH$10:AH35,$AM$11:$AM$177), 0)),""))</f>
        <v/>
      </c>
      <c r="AI36" s="301" t="str">
        <f t="shared" si="3"/>
        <v/>
      </c>
      <c r="AK36" s="469" t="str">
        <f>IF('FT Fee (Franchise)'!C44="","",MAX(AK$10:AK35)+1)</f>
        <v/>
      </c>
      <c r="AL36" s="470" t="str">
        <f>IF(AND('FT Fee (Franchise)'!C44="",'FT Fee (Franchise)'!I44=""),"",'FT Fee (Franchise)'!C44)</f>
        <v/>
      </c>
      <c r="AM36" s="471" t="str">
        <f t="shared" si="0"/>
        <v/>
      </c>
    </row>
    <row r="37" spans="1:39" ht="18.75" x14ac:dyDescent="0.25">
      <c r="A37" s="71">
        <v>24</v>
      </c>
      <c r="B37" s="477" t="str">
        <f t="shared" si="4"/>
        <v>Other</v>
      </c>
      <c r="C37" s="478" t="str">
        <f t="shared" si="6"/>
        <v/>
      </c>
      <c r="D37" s="479" t="str">
        <f t="shared" si="5"/>
        <v>*</v>
      </c>
      <c r="E37" s="413">
        <v>3</v>
      </c>
      <c r="F37" s="414">
        <v>24</v>
      </c>
      <c r="K37" s="301">
        <f>IF(ISERROR(RANK(L37,$L$23:$L$473,1)+COUNTIF($L$23:L37,L37)-1)=TRUE,"",RANK(L37,$L$23:$L$473,1)+COUNTIF($L$23:L37,L37)-1)</f>
        <v>17</v>
      </c>
      <c r="L37" s="301">
        <f t="shared" si="8"/>
        <v>15</v>
      </c>
      <c r="M37" s="336" t="str">
        <f>IF(AC13="YES","","Foundation year / Year 0")</f>
        <v>Foundation year / Year 0</v>
      </c>
      <c r="O37" s="301" t="s">
        <v>541</v>
      </c>
      <c r="T37" s="301" t="str">
        <f>IF(AH13="YES","","No FT Franchise Foundation year / Year 0 courses listed.")</f>
        <v>No FT Franchise Foundation year / Year 0 courses listed.</v>
      </c>
      <c r="AG37" s="301" t="str">
        <f t="shared" si="2"/>
        <v/>
      </c>
      <c r="AH37" s="457" t="str">
        <f t="array" ref="AH37">IF(IFERROR(INDEX($AM$11:$AM$177, MATCH(0,COUNTIF($AH$10:AH36,$AM$11:$AM$177), 0)),"")=0,"",IFERROR(INDEX($AM$11:$AM$177, MATCH(0,COUNTIF($AH$10:AH36,$AM$11:$AM$177), 0)),""))</f>
        <v/>
      </c>
      <c r="AI37" s="301" t="str">
        <f t="shared" si="3"/>
        <v/>
      </c>
      <c r="AK37" s="469" t="str">
        <f>IF('FT Fee (Franchise)'!C45="","",MAX(AK$10:AK36)+1)</f>
        <v/>
      </c>
      <c r="AL37" s="470" t="str">
        <f>IF(AND('FT Fee (Franchise)'!C45="",'FT Fee (Franchise)'!I45=""),"",'FT Fee (Franchise)'!C45)</f>
        <v/>
      </c>
      <c r="AM37" s="471" t="str">
        <f t="shared" si="0"/>
        <v/>
      </c>
    </row>
    <row r="38" spans="1:39" ht="18.75" x14ac:dyDescent="0.25">
      <c r="A38" s="70">
        <v>25</v>
      </c>
      <c r="B38" s="477" t="str">
        <f t="shared" si="4"/>
        <v>Part-time course type:</v>
      </c>
      <c r="C38" s="478" t="str">
        <f t="shared" si="6"/>
        <v>Additional information:</v>
      </c>
      <c r="D38" s="479" t="str">
        <f t="shared" si="5"/>
        <v>Course fee:</v>
      </c>
      <c r="E38" s="413">
        <v>3</v>
      </c>
      <c r="F38" s="414">
        <v>25</v>
      </c>
      <c r="K38" s="301">
        <f>IF(ISERROR(RANK(L38,$L$23:$L$473,1)+COUNTIF($L$23:L38,L38)-1)=TRUE,"",RANK(L38,$L$23:$L$473,1)+COUNTIF($L$23:L38,L38)-1)</f>
        <v>18</v>
      </c>
      <c r="L38" s="301">
        <f t="shared" si="8"/>
        <v>16</v>
      </c>
      <c r="M38" s="336" t="str">
        <f>IF(AC14="YES","","HNC / HND")</f>
        <v>HNC / HND</v>
      </c>
      <c r="O38" s="301" t="s">
        <v>541</v>
      </c>
      <c r="T38" s="301" t="str">
        <f>IF(AH14="YES","","No FT Franchise HNC / HND courses listed.")</f>
        <v>No FT Franchise HNC / HND courses listed.</v>
      </c>
      <c r="AG38" s="301" t="str">
        <f t="shared" si="2"/>
        <v/>
      </c>
      <c r="AH38" s="457" t="str">
        <f t="array" ref="AH38">IF(IFERROR(INDEX($AM$11:$AM$177, MATCH(0,COUNTIF($AH$10:AH37,$AM$11:$AM$177), 0)),"")=0,"",IFERROR(INDEX($AM$11:$AM$177, MATCH(0,COUNTIF($AH$10:AH37,$AM$11:$AM$177), 0)),""))</f>
        <v/>
      </c>
      <c r="AI38" s="301" t="str">
        <f t="shared" si="3"/>
        <v/>
      </c>
      <c r="AK38" s="469" t="str">
        <f>IF('FT Fee (Franchise)'!C46="","",MAX(AK$10:AK37)+1)</f>
        <v/>
      </c>
      <c r="AL38" s="470" t="str">
        <f>IF(AND('FT Fee (Franchise)'!C46="",'FT Fee (Franchise)'!I46=""),"",'FT Fee (Franchise)'!C46)</f>
        <v/>
      </c>
      <c r="AM38" s="471" t="str">
        <f t="shared" si="0"/>
        <v/>
      </c>
    </row>
    <row r="39" spans="1:39" ht="18.75" x14ac:dyDescent="0.25">
      <c r="A39" s="71">
        <v>26</v>
      </c>
      <c r="B39" s="477" t="str">
        <f t="shared" si="4"/>
        <v>First degree</v>
      </c>
      <c r="C39" s="478" t="str">
        <f t="shared" si="6"/>
        <v/>
      </c>
      <c r="D39" s="479" t="str">
        <f t="shared" si="5"/>
        <v>*</v>
      </c>
      <c r="E39" s="413">
        <v>3</v>
      </c>
      <c r="F39" s="414">
        <v>26</v>
      </c>
      <c r="K39" s="301">
        <f>IF(ISERROR(RANK(L39,$L$23:$L$473,1)+COUNTIF($L$23:L39,L39)-1)=TRUE,"",RANK(L39,$L$23:$L$473,1)+COUNTIF($L$23:L39,L39)-1)</f>
        <v>19</v>
      </c>
      <c r="L39" s="301">
        <f t="shared" si="8"/>
        <v>17</v>
      </c>
      <c r="M39" s="336" t="str">
        <f>IF(AC15="YES","","CertHE / DipHE")</f>
        <v>CertHE / DipHE</v>
      </c>
      <c r="O39" s="301" t="s">
        <v>541</v>
      </c>
      <c r="T39" s="301" t="str">
        <f>IF(AH15="YES","","No FT Franchise CertHE / DipHE courses listed.")</f>
        <v>No FT Franchise CertHE / DipHE courses listed.</v>
      </c>
      <c r="AG39" s="301" t="str">
        <f t="shared" si="2"/>
        <v/>
      </c>
      <c r="AH39" s="457" t="str">
        <f t="array" ref="AH39">IF(IFERROR(INDEX($AM$11:$AM$177, MATCH(0,COUNTIF($AH$10:AH38,$AM$11:$AM$177), 0)),"")=0,"",IFERROR(INDEX($AM$11:$AM$177, MATCH(0,COUNTIF($AH$10:AH38,$AM$11:$AM$177), 0)),""))</f>
        <v/>
      </c>
      <c r="AI39" s="301" t="str">
        <f t="shared" si="3"/>
        <v/>
      </c>
      <c r="AK39" s="469" t="str">
        <f>IF('FT Fee (Franchise)'!C47="","",MAX(AK$10:AK38)+1)</f>
        <v/>
      </c>
      <c r="AL39" s="470" t="str">
        <f>IF(AND('FT Fee (Franchise)'!C47="",'FT Fee (Franchise)'!I47=""),"",'FT Fee (Franchise)'!C47)</f>
        <v/>
      </c>
      <c r="AM39" s="471" t="str">
        <f t="shared" si="0"/>
        <v/>
      </c>
    </row>
    <row r="40" spans="1:39" ht="18.75" x14ac:dyDescent="0.25">
      <c r="A40" s="71">
        <v>27</v>
      </c>
      <c r="B40" s="477" t="str">
        <f t="shared" si="4"/>
        <v>Foundation degree</v>
      </c>
      <c r="C40" s="478" t="str">
        <f t="shared" si="6"/>
        <v xml:space="preserve"> - </v>
      </c>
      <c r="D40" s="479">
        <f t="shared" si="5"/>
        <v>4500</v>
      </c>
      <c r="E40" s="413">
        <v>3</v>
      </c>
      <c r="F40" s="414">
        <v>27</v>
      </c>
      <c r="K40" s="301">
        <f>IF(ISERROR(RANK(L40,$L$23:$L$473,1)+COUNTIF($L$23:L40,L40)-1)=TRUE,"",RANK(L40,$L$23:$L$473,1)+COUNTIF($L$23:L40,L40)-1)</f>
        <v>20</v>
      </c>
      <c r="L40" s="301">
        <f t="shared" si="8"/>
        <v>18</v>
      </c>
      <c r="M40" s="336" t="str">
        <f>IF(AC16="YES","","Postgraduate ITT")</f>
        <v>Postgraduate ITT</v>
      </c>
      <c r="O40" s="301" t="s">
        <v>541</v>
      </c>
      <c r="T40" s="301" t="str">
        <f>IF(AH16="YES","","No FT Franchise Postgraduate ITT courses listed.")</f>
        <v>No FT Franchise Postgraduate ITT courses listed.</v>
      </c>
      <c r="AG40" s="301" t="str">
        <f t="shared" si="2"/>
        <v/>
      </c>
      <c r="AH40" s="457" t="str">
        <f t="array" ref="AH40">IF(IFERROR(INDEX($AM$11:$AM$177, MATCH(0,COUNTIF($AH$10:AH39,$AM$11:$AM$177), 0)),"")=0,"",IFERROR(INDEX($AM$11:$AM$177, MATCH(0,COUNTIF($AH$10:AH39,$AM$11:$AM$177), 0)),""))</f>
        <v/>
      </c>
      <c r="AI40" s="301" t="str">
        <f t="shared" si="3"/>
        <v/>
      </c>
      <c r="AK40" s="469" t="str">
        <f>IF('FT Fee (Franchise)'!C48="","",MAX(AK$10:AK39)+1)</f>
        <v/>
      </c>
      <c r="AL40" s="470" t="str">
        <f>IF(AND('FT Fee (Franchise)'!C48="",'FT Fee (Franchise)'!I48=""),"",'FT Fee (Franchise)'!C48)</f>
        <v/>
      </c>
      <c r="AM40" s="471" t="str">
        <f t="shared" si="0"/>
        <v/>
      </c>
    </row>
    <row r="41" spans="1:39" ht="18.75" x14ac:dyDescent="0.25">
      <c r="A41" s="71">
        <v>28</v>
      </c>
      <c r="B41" s="477" t="str">
        <f t="shared" si="4"/>
        <v>Foundation year / Year 0</v>
      </c>
      <c r="C41" s="478" t="str">
        <f t="shared" si="6"/>
        <v/>
      </c>
      <c r="D41" s="479" t="str">
        <f t="shared" si="5"/>
        <v>*</v>
      </c>
      <c r="E41" s="413">
        <v>3</v>
      </c>
      <c r="F41" s="414">
        <v>28</v>
      </c>
      <c r="K41" s="301">
        <f>IF(ISERROR(RANK(L41,$L$23:$L$473,1)+COUNTIF($L$23:L41,L41)-1)=TRUE,"",RANK(L41,$L$23:$L$473,1)+COUNTIF($L$23:L41,L41)-1)</f>
        <v>24</v>
      </c>
      <c r="L41" s="301">
        <f t="shared" si="8"/>
        <v>22</v>
      </c>
      <c r="M41" s="336" t="str">
        <f>IF(AC20="YES","","Other")</f>
        <v>Other</v>
      </c>
      <c r="O41" s="301" t="s">
        <v>541</v>
      </c>
      <c r="T41" s="301" t="str">
        <f>IF(AH20="YES","","No Other FT Franchise courses listed.")</f>
        <v>No Other FT Franchise courses listed.</v>
      </c>
      <c r="AG41" s="301" t="str">
        <f t="shared" si="2"/>
        <v/>
      </c>
      <c r="AH41" s="457" t="str">
        <f t="array" ref="AH41">IF(IFERROR(INDEX($AM$11:$AM$177, MATCH(0,COUNTIF($AH$10:AH40,$AM$11:$AM$177), 0)),"")=0,"",IFERROR(INDEX($AM$11:$AM$177, MATCH(0,COUNTIF($AH$10:AH40,$AM$11:$AM$177), 0)),""))</f>
        <v/>
      </c>
      <c r="AI41" s="301" t="str">
        <f t="shared" si="3"/>
        <v/>
      </c>
      <c r="AK41" s="469" t="str">
        <f>IF('FT Fee (Franchise)'!C49="","",MAX(AK$10:AK40)+1)</f>
        <v/>
      </c>
      <c r="AL41" s="470" t="str">
        <f>IF(AND('FT Fee (Franchise)'!C49="",'FT Fee (Franchise)'!I49=""),"",'FT Fee (Franchise)'!C49)</f>
        <v/>
      </c>
      <c r="AM41" s="471" t="str">
        <f t="shared" si="0"/>
        <v/>
      </c>
    </row>
    <row r="42" spans="1:39" ht="18.75" x14ac:dyDescent="0.25">
      <c r="A42" s="70">
        <v>29</v>
      </c>
      <c r="B42" s="477" t="str">
        <f t="shared" si="4"/>
        <v>HNC / HND</v>
      </c>
      <c r="C42" s="478" t="str">
        <f t="shared" si="6"/>
        <v xml:space="preserve"> - </v>
      </c>
      <c r="D42" s="479">
        <f t="shared" si="5"/>
        <v>4500</v>
      </c>
      <c r="E42" s="413">
        <v>3</v>
      </c>
      <c r="F42" s="414">
        <v>29</v>
      </c>
      <c r="K42" s="301">
        <f>IF(ISERROR(RANK(L42,$L$23:$L$473,1)+COUNTIF($L$23:L42,L42)-1)=TRUE,"",RANK(L42,$L$23:$L$473,1)+COUNTIF($L$23:L42,L42)-1)</f>
        <v>22</v>
      </c>
      <c r="L42" s="301">
        <f t="shared" si="8"/>
        <v>20</v>
      </c>
      <c r="M42" s="336" t="str">
        <f>IF(AC18="YES","","Sandwich year")</f>
        <v>Sandwich year</v>
      </c>
      <c r="O42" s="301" t="s">
        <v>541</v>
      </c>
      <c r="T42" s="301" t="str">
        <f>IF(AH18="YES","","No FT Franchise Sandwich year courses listed.")</f>
        <v>No FT Franchise Sandwich year courses listed.</v>
      </c>
      <c r="AG42" s="301" t="str">
        <f t="shared" si="2"/>
        <v/>
      </c>
      <c r="AH42" s="457" t="str">
        <f t="array" ref="AH42">IF(IFERROR(INDEX($AM$11:$AM$177, MATCH(0,COUNTIF($AH$10:AH41,$AM$11:$AM$177), 0)),"")=0,"",IFERROR(INDEX($AM$11:$AM$177, MATCH(0,COUNTIF($AH$10:AH41,$AM$11:$AM$177), 0)),""))</f>
        <v/>
      </c>
      <c r="AI42" s="301" t="str">
        <f t="shared" si="3"/>
        <v/>
      </c>
      <c r="AK42" s="469" t="str">
        <f>IF('FT Fee (Franchise)'!C50="","",MAX(AK$10:AK41)+1)</f>
        <v/>
      </c>
      <c r="AL42" s="470" t="str">
        <f>IF(AND('FT Fee (Franchise)'!C50="",'FT Fee (Franchise)'!I50=""),"",'FT Fee (Franchise)'!C50)</f>
        <v/>
      </c>
      <c r="AM42" s="471" t="str">
        <f t="shared" si="0"/>
        <v/>
      </c>
    </row>
    <row r="43" spans="1:39" ht="18.75" x14ac:dyDescent="0.25">
      <c r="A43" s="71">
        <v>30</v>
      </c>
      <c r="B43" s="477" t="str">
        <f t="shared" si="4"/>
        <v>CertHE / DipHE</v>
      </c>
      <c r="C43" s="478" t="str">
        <f t="shared" si="6"/>
        <v xml:space="preserve"> - </v>
      </c>
      <c r="D43" s="479">
        <f t="shared" si="5"/>
        <v>3000</v>
      </c>
      <c r="E43" s="413">
        <v>3</v>
      </c>
      <c r="F43" s="414">
        <v>30</v>
      </c>
      <c r="K43" s="301">
        <f>IF(ISERROR(RANK(L43,$L$23:$L$473,1)+COUNTIF($L$23:L43,L43)-1)=TRUE,"",RANK(L43,$L$23:$L$473,1)+COUNTIF($L$23:L43,L43)-1)</f>
        <v>23</v>
      </c>
      <c r="L43" s="301">
        <f t="shared" si="8"/>
        <v>21</v>
      </c>
      <c r="M43" s="336" t="str">
        <f>IF(AC19="YES","","Erasmus and overseas study years")</f>
        <v>Erasmus and overseas study years</v>
      </c>
      <c r="O43" s="301" t="s">
        <v>541</v>
      </c>
      <c r="T43" s="301" t="str">
        <f>IF(AH19="YES","","No FT Franchise Erasmus and overseas study years listed.")</f>
        <v>No FT Franchise Erasmus and overseas study years listed.</v>
      </c>
      <c r="AG43" s="301" t="str">
        <f t="shared" si="2"/>
        <v/>
      </c>
      <c r="AH43" s="457" t="str">
        <f t="array" ref="AH43">IF(IFERROR(INDEX($AM$11:$AM$177, MATCH(0,COUNTIF($AH$10:AH42,$AM$11:$AM$177), 0)),"")=0,"",IFERROR(INDEX($AM$11:$AM$177, MATCH(0,COUNTIF($AH$10:AH42,$AM$11:$AM$177), 0)),""))</f>
        <v/>
      </c>
      <c r="AI43" s="301" t="str">
        <f t="shared" si="3"/>
        <v/>
      </c>
      <c r="AK43" s="469" t="str">
        <f>IF('FT Fee (Franchise)'!C51="","",MAX(AK$10:AK42)+1)</f>
        <v/>
      </c>
      <c r="AL43" s="470" t="str">
        <f>IF(AND('FT Fee (Franchise)'!C51="",'FT Fee (Franchise)'!I51=""),"",'FT Fee (Franchise)'!C51)</f>
        <v/>
      </c>
      <c r="AM43" s="471" t="str">
        <f t="shared" ref="AM43:AM74" si="9">IFERROR(INDEX($AL$11:$AL$177,MATCH(ROW()-ROW($AM$10),$AK$11:$AK$177,0)),"")</f>
        <v/>
      </c>
    </row>
    <row r="44" spans="1:39" ht="18.75" x14ac:dyDescent="0.25">
      <c r="A44" s="71">
        <v>31</v>
      </c>
      <c r="B44" s="477" t="str">
        <f t="shared" si="4"/>
        <v>Postgraduate ITT</v>
      </c>
      <c r="C44" s="478" t="str">
        <f t="shared" si="6"/>
        <v xml:space="preserve"> - </v>
      </c>
      <c r="D44" s="479">
        <f t="shared" si="5"/>
        <v>4000</v>
      </c>
      <c r="E44" s="413">
        <v>3</v>
      </c>
      <c r="F44" s="414">
        <v>31</v>
      </c>
      <c r="K44" s="301">
        <f>IF(ISERROR(RANK(L44,$L$23:$L$473,1)+COUNTIF($L$23:L44,L44)-1)=TRUE,"",RANK(L44,$L$23:$L$473,1)+COUNTIF($L$23:L44,L44)-1)</f>
        <v>21</v>
      </c>
      <c r="L44" s="301">
        <f t="shared" si="8"/>
        <v>19</v>
      </c>
      <c r="M44" s="328" t="str">
        <f>IF(AC17="YES","","Accelerated degree")</f>
        <v>Accelerated degree</v>
      </c>
      <c r="O44" s="301" t="s">
        <v>541</v>
      </c>
      <c r="T44" s="301" t="str">
        <f>IF(AH17="YES","","No FT Franchise Accelerated degree courses listed.")</f>
        <v>No FT Franchise Accelerated degree courses listed.</v>
      </c>
      <c r="AG44" s="301" t="str">
        <f t="shared" si="2"/>
        <v/>
      </c>
      <c r="AH44" s="457" t="str">
        <f t="array" ref="AH44">IF(IFERROR(INDEX($AM$11:$AM$177, MATCH(0,COUNTIF($AH$10:AH43,$AM$11:$AM$177), 0)),"")=0,"",IFERROR(INDEX($AM$11:$AM$177, MATCH(0,COUNTIF($AH$10:AH43,$AM$11:$AM$177), 0)),""))</f>
        <v/>
      </c>
      <c r="AI44" s="301" t="str">
        <f t="shared" si="3"/>
        <v/>
      </c>
      <c r="AK44" s="469" t="str">
        <f>IF('FT Fee (Franchise)'!C52="","",MAX(AK$10:AK43)+1)</f>
        <v/>
      </c>
      <c r="AL44" s="470" t="str">
        <f>IF(AND('FT Fee (Franchise)'!C52="",'FT Fee (Franchise)'!I52=""),"",'FT Fee (Franchise)'!C52)</f>
        <v/>
      </c>
      <c r="AM44" s="471" t="str">
        <f t="shared" si="9"/>
        <v/>
      </c>
    </row>
    <row r="45" spans="1:39" ht="18.75" x14ac:dyDescent="0.25">
      <c r="A45" s="71">
        <v>32</v>
      </c>
      <c r="B45" s="477" t="str">
        <f t="shared" si="4"/>
        <v>Accelerated degree</v>
      </c>
      <c r="C45" s="478" t="str">
        <f t="shared" si="6"/>
        <v/>
      </c>
      <c r="D45" s="479" t="str">
        <f t="shared" si="5"/>
        <v>*</v>
      </c>
      <c r="E45" s="413">
        <v>3</v>
      </c>
      <c r="F45" s="414">
        <v>32</v>
      </c>
      <c r="K45" s="301">
        <f>IF(ISERROR(RANK(L45,$L$23:$L$473,1)+COUNTIF($L$23:L45,L45)-1)=TRUE,"",RANK(L45,$L$23:$L$473,1)+COUNTIF($L$23:L45,L45)-1)</f>
        <v>25</v>
      </c>
      <c r="L45" s="301">
        <f t="shared" ref="L45:L55" si="10">IF(ISERROR(VLOOKUP(M45,$S$10:$S$20,1,FALSE))=TRUE,"",VLOOKUP(M45,$S$10:$U$20,2,FALSE))</f>
        <v>24</v>
      </c>
      <c r="M45" s="301" t="s">
        <v>500</v>
      </c>
      <c r="N45" s="301" t="s">
        <v>501</v>
      </c>
      <c r="O45" s="301" t="s">
        <v>502</v>
      </c>
      <c r="T45" s="301" t="s">
        <v>502</v>
      </c>
      <c r="AG45" s="301" t="str">
        <f t="shared" si="2"/>
        <v/>
      </c>
      <c r="AH45" s="457" t="str">
        <f t="array" ref="AH45">IF(IFERROR(INDEX($AM$11:$AM$177, MATCH(0,COUNTIF($AH$10:AH44,$AM$11:$AM$177), 0)),"")=0,"",IFERROR(INDEX($AM$11:$AM$177, MATCH(0,COUNTIF($AH$10:AH44,$AM$11:$AM$177), 0)),""))</f>
        <v/>
      </c>
      <c r="AI45" s="301" t="str">
        <f t="shared" si="3"/>
        <v/>
      </c>
      <c r="AK45" s="469" t="str">
        <f>IF('FT Fee (Franchise)'!C53="","",MAX(AK$10:AK44)+1)</f>
        <v/>
      </c>
      <c r="AL45" s="470" t="str">
        <f>IF(AND('FT Fee (Franchise)'!C53="",'FT Fee (Franchise)'!I53=""),"",'FT Fee (Franchise)'!C53)</f>
        <v/>
      </c>
      <c r="AM45" s="471" t="str">
        <f t="shared" si="9"/>
        <v/>
      </c>
    </row>
    <row r="46" spans="1:39" ht="18.75" x14ac:dyDescent="0.25">
      <c r="A46" s="70">
        <v>33</v>
      </c>
      <c r="B46" s="477" t="str">
        <f t="shared" ref="B46:B77" si="11">IF(ISERROR(IF(VLOOKUP(A46,$K$23:$O$473,3,FALSE)=0,"No course type selected on the FEE sheet.",VLOOKUP(A46,$K$23:$O$473,3,FALSE)))=TRUE,"",IF(VLOOKUP(A46,$K$23:$O$473,3,FALSE)=0,"No course type selected on the FEE sheet.",VLOOKUP(A46,$K$23:$O$473,3,FALSE)))</f>
        <v>Sandwich year</v>
      </c>
      <c r="C46" s="478" t="str">
        <f t="shared" si="6"/>
        <v/>
      </c>
      <c r="D46" s="479" t="str">
        <f t="shared" si="5"/>
        <v>*</v>
      </c>
      <c r="E46" s="413">
        <v>3</v>
      </c>
      <c r="F46" s="414">
        <v>33</v>
      </c>
      <c r="K46" s="301">
        <f>IF(ISERROR(RANK(L46,$L$23:$L$473,1)+COUNTIF($L$23:L46,L46)-1)=TRUE,"",RANK(L46,$L$23:$L$473,1)+COUNTIF($L$23:L46,L46)-1)</f>
        <v>26</v>
      </c>
      <c r="L46" s="301">
        <f t="shared" si="10"/>
        <v>25</v>
      </c>
      <c r="M46" s="336" t="str">
        <f>IF(U11="YES","","First degree")</f>
        <v>First degree</v>
      </c>
      <c r="O46" s="301" t="s">
        <v>541</v>
      </c>
      <c r="T46" s="301" t="str">
        <f>IF(Z11="YES","","No PT First degree courses listed.")</f>
        <v>No PT First degree courses listed.</v>
      </c>
      <c r="AG46" s="301" t="str">
        <f t="shared" si="2"/>
        <v/>
      </c>
      <c r="AH46" s="457" t="str">
        <f t="array" ref="AH46">IF(IFERROR(INDEX($AM$11:$AM$177, MATCH(0,COUNTIF($AH$10:AH45,$AM$11:$AM$177), 0)),"")=0,"",IFERROR(INDEX($AM$11:$AM$177, MATCH(0,COUNTIF($AH$10:AH45,$AM$11:$AM$177), 0)),""))</f>
        <v/>
      </c>
      <c r="AI46" s="301" t="str">
        <f t="shared" si="3"/>
        <v/>
      </c>
      <c r="AK46" s="469" t="str">
        <f>IF('FT Fee (Franchise)'!C54="","",MAX(AK$10:AK45)+1)</f>
        <v/>
      </c>
      <c r="AL46" s="470" t="str">
        <f>IF(AND('FT Fee (Franchise)'!C54="",'FT Fee (Franchise)'!I54=""),"",'FT Fee (Franchise)'!C54)</f>
        <v/>
      </c>
      <c r="AM46" s="471" t="str">
        <f t="shared" si="9"/>
        <v/>
      </c>
    </row>
    <row r="47" spans="1:39" ht="18.75" x14ac:dyDescent="0.25">
      <c r="A47" s="71">
        <v>34</v>
      </c>
      <c r="B47" s="477" t="str">
        <f t="shared" si="11"/>
        <v>Erasmus and overseas study years</v>
      </c>
      <c r="C47" s="478" t="str">
        <f t="shared" si="6"/>
        <v/>
      </c>
      <c r="D47" s="479" t="str">
        <f t="shared" si="5"/>
        <v>*</v>
      </c>
      <c r="E47" s="413">
        <v>3</v>
      </c>
      <c r="F47" s="414">
        <v>34</v>
      </c>
      <c r="K47" s="301" t="str">
        <f>IF(ISERROR(RANK(L47,$L$23:$L$473,1)+COUNTIF($L$23:L47,L47)-1)=TRUE,"",RANK(L47,$L$23:$L$473,1)+COUNTIF($L$23:L47,L47)-1)</f>
        <v/>
      </c>
      <c r="L47" s="301" t="str">
        <f t="shared" si="10"/>
        <v/>
      </c>
      <c r="M47" s="336" t="str">
        <f>IF(U12="YES","","Foundation degree")</f>
        <v/>
      </c>
      <c r="O47" s="301" t="s">
        <v>541</v>
      </c>
      <c r="T47" s="301" t="str">
        <f>IF(Z12="YES","","No PT Foundation degree courses listed.")</f>
        <v>No PT Foundation degree courses listed.</v>
      </c>
      <c r="AG47" s="301" t="str">
        <f t="shared" si="2"/>
        <v/>
      </c>
      <c r="AH47" s="457" t="str">
        <f t="array" ref="AH47">IF(IFERROR(INDEX($AM$11:$AM$177, MATCH(0,COUNTIF($AH$10:AH46,$AM$11:$AM$177), 0)),"")=0,"",IFERROR(INDEX($AM$11:$AM$177, MATCH(0,COUNTIF($AH$10:AH46,$AM$11:$AM$177), 0)),""))</f>
        <v/>
      </c>
      <c r="AI47" s="301" t="str">
        <f t="shared" si="3"/>
        <v/>
      </c>
      <c r="AK47" s="469" t="str">
        <f>IF('FT Fee (Franchise)'!C55="","",MAX(AK$10:AK46)+1)</f>
        <v/>
      </c>
      <c r="AL47" s="470" t="str">
        <f>IF(AND('FT Fee (Franchise)'!C55="",'FT Fee (Franchise)'!I55=""),"",'FT Fee (Franchise)'!C55)</f>
        <v/>
      </c>
      <c r="AM47" s="471" t="str">
        <f t="shared" si="9"/>
        <v/>
      </c>
    </row>
    <row r="48" spans="1:39" ht="18.75" x14ac:dyDescent="0.25">
      <c r="A48" s="71">
        <v>35</v>
      </c>
      <c r="B48" s="477" t="str">
        <f t="shared" si="11"/>
        <v>Other</v>
      </c>
      <c r="C48" s="478" t="str">
        <f t="shared" si="6"/>
        <v/>
      </c>
      <c r="D48" s="479" t="str">
        <f t="shared" si="5"/>
        <v>*</v>
      </c>
      <c r="E48" s="413">
        <v>3</v>
      </c>
      <c r="F48" s="414">
        <v>35</v>
      </c>
      <c r="K48" s="301">
        <f>IF(ISERROR(RANK(L48,$L$23:$L$473,1)+COUNTIF($L$23:L48,L48)-1)=TRUE,"",RANK(L48,$L$23:$L$473,1)+COUNTIF($L$23:L48,L48)-1)</f>
        <v>28</v>
      </c>
      <c r="L48" s="301">
        <f t="shared" si="10"/>
        <v>27</v>
      </c>
      <c r="M48" s="336" t="str">
        <f>IF(U13="YES","","Foundation year / Year 0")</f>
        <v>Foundation year / Year 0</v>
      </c>
      <c r="O48" s="301" t="s">
        <v>541</v>
      </c>
      <c r="T48" s="301" t="str">
        <f>IF(Z13="YES","","No PT Foundation year / Year 0 courses listed.")</f>
        <v>No PT Foundation year / Year 0 courses listed.</v>
      </c>
      <c r="AG48" s="301" t="str">
        <f t="shared" si="2"/>
        <v/>
      </c>
      <c r="AH48" s="457" t="str">
        <f t="array" ref="AH48">IF(IFERROR(INDEX($AM$11:$AM$177, MATCH(0,COUNTIF($AH$10:AH47,$AM$11:$AM$177), 0)),"")=0,"",IFERROR(INDEX($AM$11:$AM$177, MATCH(0,COUNTIF($AH$10:AH47,$AM$11:$AM$177), 0)),""))</f>
        <v/>
      </c>
      <c r="AI48" s="301" t="str">
        <f t="shared" si="3"/>
        <v/>
      </c>
      <c r="AK48" s="469" t="str">
        <f>IF('FT Fee (Franchise)'!C56="","",MAX(AK$10:AK47)+1)</f>
        <v/>
      </c>
      <c r="AL48" s="470" t="str">
        <f>IF(AND('FT Fee (Franchise)'!C56="",'FT Fee (Franchise)'!I56=""),"",'FT Fee (Franchise)'!C56)</f>
        <v/>
      </c>
      <c r="AM48" s="471" t="str">
        <f t="shared" si="9"/>
        <v/>
      </c>
    </row>
    <row r="49" spans="1:39" ht="18.75" x14ac:dyDescent="0.25">
      <c r="A49" s="71">
        <v>36</v>
      </c>
      <c r="B49" s="477" t="str">
        <f t="shared" si="11"/>
        <v/>
      </c>
      <c r="C49" s="478" t="str">
        <f t="shared" si="6"/>
        <v/>
      </c>
      <c r="D49" s="479" t="str">
        <f t="shared" si="5"/>
        <v/>
      </c>
      <c r="E49" s="413">
        <v>3</v>
      </c>
      <c r="F49" s="414">
        <v>36</v>
      </c>
      <c r="K49" s="301" t="str">
        <f>IF(ISERROR(RANK(L49,$L$23:$L$473,1)+COUNTIF($L$23:L49,L49)-1)=TRUE,"",RANK(L49,$L$23:$L$473,1)+COUNTIF($L$23:L49,L49)-1)</f>
        <v/>
      </c>
      <c r="L49" s="301" t="str">
        <f t="shared" si="10"/>
        <v/>
      </c>
      <c r="M49" s="336" t="str">
        <f>IF(U14="YES","","HNC / HND")</f>
        <v/>
      </c>
      <c r="O49" s="301" t="s">
        <v>541</v>
      </c>
      <c r="T49" s="301" t="str">
        <f>IF(Z14="YES","","No PT HNC / HND courses listed.")</f>
        <v>No PT HNC / HND courses listed.</v>
      </c>
      <c r="AG49" s="301" t="str">
        <f t="shared" si="2"/>
        <v/>
      </c>
      <c r="AH49" s="457" t="str">
        <f t="array" ref="AH49">IF(IFERROR(INDEX($AM$11:$AM$177, MATCH(0,COUNTIF($AH$10:AH48,$AM$11:$AM$177), 0)),"")=0,"",IFERROR(INDEX($AM$11:$AM$177, MATCH(0,COUNTIF($AH$10:AH48,$AM$11:$AM$177), 0)),""))</f>
        <v/>
      </c>
      <c r="AI49" s="301" t="str">
        <f t="shared" si="3"/>
        <v/>
      </c>
      <c r="AK49" s="469" t="str">
        <f>IF('FT Fee (Franchise)'!C57="","",MAX(AK$10:AK48)+1)</f>
        <v/>
      </c>
      <c r="AL49" s="470" t="str">
        <f>IF(AND('FT Fee (Franchise)'!C57="",'FT Fee (Franchise)'!I57=""),"",'FT Fee (Franchise)'!C57)</f>
        <v/>
      </c>
      <c r="AM49" s="471" t="str">
        <f t="shared" si="9"/>
        <v/>
      </c>
    </row>
    <row r="50" spans="1:39" ht="18.75" x14ac:dyDescent="0.25">
      <c r="A50" s="70">
        <v>37</v>
      </c>
      <c r="B50" s="477" t="str">
        <f t="shared" si="11"/>
        <v/>
      </c>
      <c r="C50" s="478" t="str">
        <f t="shared" si="6"/>
        <v/>
      </c>
      <c r="D50" s="479" t="str">
        <f t="shared" si="5"/>
        <v/>
      </c>
      <c r="E50" s="413">
        <v>3</v>
      </c>
      <c r="F50" s="414">
        <v>37</v>
      </c>
      <c r="K50" s="301" t="str">
        <f>IF(ISERROR(RANK(L50,$L$23:$L$473,1)+COUNTIF($L$23:L50,L50)-1)=TRUE,"",RANK(L50,$L$23:$L$473,1)+COUNTIF($L$23:L50,L50)-1)</f>
        <v/>
      </c>
      <c r="L50" s="301" t="str">
        <f t="shared" si="10"/>
        <v/>
      </c>
      <c r="M50" s="336" t="str">
        <f>IF(U15="YES","","CertHE / DipHE")</f>
        <v/>
      </c>
      <c r="O50" s="301" t="s">
        <v>541</v>
      </c>
      <c r="T50" s="301" t="str">
        <f>IF(Z15="YES","","No PT CertHE / DipHE courses listed.")</f>
        <v>No PT CertHE / DipHE courses listed.</v>
      </c>
      <c r="AG50" s="301" t="str">
        <f t="shared" si="2"/>
        <v/>
      </c>
      <c r="AH50" s="457" t="str">
        <f t="array" ref="AH50">IF(IFERROR(INDEX($AM$11:$AM$177, MATCH(0,COUNTIF($AH$10:AH49,$AM$11:$AM$177), 0)),"")=0,"",IFERROR(INDEX($AM$11:$AM$177, MATCH(0,COUNTIF($AH$10:AH49,$AM$11:$AM$177), 0)),""))</f>
        <v/>
      </c>
      <c r="AI50" s="301" t="str">
        <f t="shared" si="3"/>
        <v/>
      </c>
      <c r="AK50" s="469" t="str">
        <f>IF('FT Fee (Franchise)'!C58="","",MAX(AK$10:AK49)+1)</f>
        <v/>
      </c>
      <c r="AL50" s="470" t="str">
        <f>IF(AND('FT Fee (Franchise)'!C58="",'FT Fee (Franchise)'!I58=""),"",'FT Fee (Franchise)'!C58)</f>
        <v/>
      </c>
      <c r="AM50" s="471" t="str">
        <f t="shared" si="9"/>
        <v/>
      </c>
    </row>
    <row r="51" spans="1:39" ht="18.75" x14ac:dyDescent="0.25">
      <c r="A51" s="71">
        <v>38</v>
      </c>
      <c r="B51" s="477" t="str">
        <f t="shared" si="11"/>
        <v/>
      </c>
      <c r="C51" s="478" t="str">
        <f t="shared" si="6"/>
        <v/>
      </c>
      <c r="D51" s="479" t="str">
        <f t="shared" si="5"/>
        <v/>
      </c>
      <c r="E51" s="413">
        <v>3</v>
      </c>
      <c r="F51" s="414">
        <v>38</v>
      </c>
      <c r="K51" s="301" t="str">
        <f>IF(ISERROR(RANK(L51,$L$23:$L$473,1)+COUNTIF($L$23:L51,L51)-1)=TRUE,"",RANK(L51,$L$23:$L$473,1)+COUNTIF($L$23:L51,L51)-1)</f>
        <v/>
      </c>
      <c r="L51" s="301" t="str">
        <f t="shared" si="10"/>
        <v/>
      </c>
      <c r="M51" s="336" t="str">
        <f>IF(U16="YES","","Postgraduate ITT")</f>
        <v/>
      </c>
      <c r="O51" s="301" t="s">
        <v>541</v>
      </c>
      <c r="T51" s="301" t="str">
        <f>IF(Z16="YES","","No PT Postgraduate ITT courses listed.")</f>
        <v>No PT Postgraduate ITT courses listed.</v>
      </c>
      <c r="AG51" s="301" t="str">
        <f t="shared" si="2"/>
        <v/>
      </c>
      <c r="AH51" s="457" t="str">
        <f t="array" ref="AH51">IF(IFERROR(INDEX($AM$11:$AM$177, MATCH(0,COUNTIF($AH$10:AH50,$AM$11:$AM$177), 0)),"")=0,"",IFERROR(INDEX($AM$11:$AM$177, MATCH(0,COUNTIF($AH$10:AH50,$AM$11:$AM$177), 0)),""))</f>
        <v/>
      </c>
      <c r="AI51" s="301" t="str">
        <f t="shared" si="3"/>
        <v/>
      </c>
      <c r="AK51" s="469" t="str">
        <f>IF('FT Fee (Franchise)'!C59="","",MAX(AK$10:AK50)+1)</f>
        <v/>
      </c>
      <c r="AL51" s="470" t="str">
        <f>IF(AND('FT Fee (Franchise)'!C59="",'FT Fee (Franchise)'!I59=""),"",'FT Fee (Franchise)'!C59)</f>
        <v/>
      </c>
      <c r="AM51" s="471" t="str">
        <f t="shared" si="9"/>
        <v/>
      </c>
    </row>
    <row r="52" spans="1:39" ht="18.75" x14ac:dyDescent="0.25">
      <c r="A52" s="71">
        <v>39</v>
      </c>
      <c r="B52" s="477" t="str">
        <f t="shared" si="11"/>
        <v/>
      </c>
      <c r="C52" s="478" t="str">
        <f t="shared" si="6"/>
        <v/>
      </c>
      <c r="D52" s="479" t="str">
        <f t="shared" si="5"/>
        <v/>
      </c>
      <c r="E52" s="413">
        <v>3</v>
      </c>
      <c r="F52" s="414">
        <v>39</v>
      </c>
      <c r="K52" s="301">
        <f>IF(ISERROR(RANK(L52,$L$23:$L$473,1)+COUNTIF($L$23:L52,L52)-1)=TRUE,"",RANK(L52,$L$23:$L$473,1)+COUNTIF($L$23:L52,L52)-1)</f>
        <v>35</v>
      </c>
      <c r="L52" s="301">
        <f t="shared" si="10"/>
        <v>34</v>
      </c>
      <c r="M52" s="336" t="str">
        <f>IF(U17="YES","","Other")</f>
        <v>Other</v>
      </c>
      <c r="O52" s="301" t="s">
        <v>541</v>
      </c>
      <c r="T52" s="301" t="str">
        <f>IF(Z17="YES","","No PT Other courses listed.")</f>
        <v>No PT Other courses listed.</v>
      </c>
      <c r="AG52" s="301" t="str">
        <f t="shared" si="2"/>
        <v/>
      </c>
      <c r="AH52" s="457" t="str">
        <f t="array" ref="AH52">IF(IFERROR(INDEX($AM$11:$AM$177, MATCH(0,COUNTIF($AH$10:AH51,$AM$11:$AM$177), 0)),"")=0,"",IFERROR(INDEX($AM$11:$AM$177, MATCH(0,COUNTIF($AH$10:AH51,$AM$11:$AM$177), 0)),""))</f>
        <v/>
      </c>
      <c r="AI52" s="301" t="str">
        <f t="shared" si="3"/>
        <v/>
      </c>
      <c r="AK52" s="469" t="str">
        <f>IF('FT Fee (Franchise)'!C60="","",MAX(AK$10:AK51)+1)</f>
        <v/>
      </c>
      <c r="AL52" s="470" t="str">
        <f>IF(AND('FT Fee (Franchise)'!C60="",'FT Fee (Franchise)'!I60=""),"",'FT Fee (Franchise)'!C60)</f>
        <v/>
      </c>
      <c r="AM52" s="471" t="str">
        <f t="shared" si="9"/>
        <v/>
      </c>
    </row>
    <row r="53" spans="1:39" ht="18.75" x14ac:dyDescent="0.25">
      <c r="A53" s="71">
        <v>40</v>
      </c>
      <c r="B53" s="477" t="str">
        <f t="shared" si="11"/>
        <v/>
      </c>
      <c r="C53" s="478" t="str">
        <f t="shared" si="6"/>
        <v/>
      </c>
      <c r="D53" s="479" t="str">
        <f t="shared" si="5"/>
        <v/>
      </c>
      <c r="E53" s="413">
        <v>3</v>
      </c>
      <c r="F53" s="414">
        <v>40</v>
      </c>
      <c r="K53" s="301">
        <f>IF(ISERROR(RANK(L53,$L$23:$L$473,1)+COUNTIF($L$23:L53,L53)-1)=TRUE,"",RANK(L53,$L$23:$L$473,1)+COUNTIF($L$23:L53,L53)-1)</f>
        <v>33</v>
      </c>
      <c r="L53" s="301">
        <f t="shared" si="10"/>
        <v>32</v>
      </c>
      <c r="M53" s="336" t="str">
        <f>IF(U18="YES","","Sandwich year")</f>
        <v>Sandwich year</v>
      </c>
      <c r="O53" s="301" t="s">
        <v>541</v>
      </c>
      <c r="T53" s="301" t="str">
        <f>IF(Z18="YES","","No PT Sandwich year courses listed.")</f>
        <v>No PT Sandwich year courses listed.</v>
      </c>
      <c r="AG53" s="301" t="str">
        <f t="shared" si="2"/>
        <v/>
      </c>
      <c r="AH53" s="457" t="str">
        <f t="array" ref="AH53">IF(IFERROR(INDEX($AM$11:$AM$177, MATCH(0,COUNTIF($AH$10:AH52,$AM$11:$AM$177), 0)),"")=0,"",IFERROR(INDEX($AM$11:$AM$177, MATCH(0,COUNTIF($AH$10:AH52,$AM$11:$AM$177), 0)),""))</f>
        <v/>
      </c>
      <c r="AI53" s="301" t="str">
        <f t="shared" si="3"/>
        <v/>
      </c>
      <c r="AK53" s="469" t="str">
        <f>IF('FT Fee (Franchise)'!C61="","",MAX(AK$10:AK52)+1)</f>
        <v/>
      </c>
      <c r="AL53" s="470" t="str">
        <f>IF(AND('FT Fee (Franchise)'!C61="",'FT Fee (Franchise)'!I61=""),"",'FT Fee (Franchise)'!C61)</f>
        <v/>
      </c>
      <c r="AM53" s="471" t="str">
        <f t="shared" si="9"/>
        <v/>
      </c>
    </row>
    <row r="54" spans="1:39" ht="18.75" x14ac:dyDescent="0.25">
      <c r="A54" s="70">
        <v>41</v>
      </c>
      <c r="B54" s="477" t="str">
        <f t="shared" si="11"/>
        <v/>
      </c>
      <c r="C54" s="478" t="str">
        <f t="shared" si="6"/>
        <v/>
      </c>
      <c r="D54" s="479" t="str">
        <f t="shared" si="5"/>
        <v/>
      </c>
      <c r="E54" s="413">
        <v>3</v>
      </c>
      <c r="F54" s="414">
        <v>41</v>
      </c>
      <c r="K54" s="301">
        <f>IF(ISERROR(RANK(L54,$L$23:$L$473,1)+COUNTIF($L$23:L54,L54)-1)=TRUE,"",RANK(L54,$L$23:$L$473,1)+COUNTIF($L$23:L54,L54)-1)</f>
        <v>34</v>
      </c>
      <c r="L54" s="301">
        <f t="shared" si="10"/>
        <v>33</v>
      </c>
      <c r="M54" s="336" t="str">
        <f>IF(U19="YES","","Erasmus and overseas study years")</f>
        <v>Erasmus and overseas study years</v>
      </c>
      <c r="O54" s="301" t="s">
        <v>541</v>
      </c>
      <c r="T54" s="301" t="str">
        <f>IF(Z19="YES","","No PT Erasmus and overseas study years courses listed.")</f>
        <v>No PT Erasmus and overseas study years courses listed.</v>
      </c>
      <c r="AG54" s="301" t="str">
        <f t="shared" si="2"/>
        <v/>
      </c>
      <c r="AH54" s="457" t="str">
        <f t="array" ref="AH54">IF(IFERROR(INDEX($AM$11:$AM$177, MATCH(0,COUNTIF($AH$10:AH53,$AM$11:$AM$177), 0)),"")=0,"",IFERROR(INDEX($AM$11:$AM$177, MATCH(0,COUNTIF($AH$10:AH53,$AM$11:$AM$177), 0)),""))</f>
        <v/>
      </c>
      <c r="AI54" s="301" t="str">
        <f t="shared" si="3"/>
        <v/>
      </c>
      <c r="AK54" s="469" t="str">
        <f>IF('FT Fee (Franchise)'!C62="","",MAX(AK$10:AK53)+1)</f>
        <v/>
      </c>
      <c r="AL54" s="470" t="str">
        <f>IF(AND('FT Fee (Franchise)'!C62="",'FT Fee (Franchise)'!I62=""),"",'FT Fee (Franchise)'!C62)</f>
        <v/>
      </c>
      <c r="AM54" s="471" t="str">
        <f t="shared" si="9"/>
        <v/>
      </c>
    </row>
    <row r="55" spans="1:39" ht="18.75" x14ac:dyDescent="0.25">
      <c r="A55" s="71">
        <v>42</v>
      </c>
      <c r="B55" s="477" t="str">
        <f t="shared" si="11"/>
        <v/>
      </c>
      <c r="C55" s="478" t="str">
        <f t="shared" si="6"/>
        <v/>
      </c>
      <c r="D55" s="479" t="str">
        <f t="shared" si="5"/>
        <v/>
      </c>
      <c r="E55" s="413">
        <v>3</v>
      </c>
      <c r="F55" s="414">
        <v>42</v>
      </c>
      <c r="K55" s="301">
        <f>IF(ISERROR(RANK(L55,$L$23:$L$473,1)+COUNTIF($L$23:L55,L55)-1)=TRUE,"",RANK(L55,$L$23:$L$473,1)+COUNTIF($L$23:L55,L55)-1)</f>
        <v>32</v>
      </c>
      <c r="L55" s="301">
        <f t="shared" si="10"/>
        <v>31</v>
      </c>
      <c r="M55" s="328" t="str">
        <f>IF(U20="YES","","Accelerated degree")</f>
        <v>Accelerated degree</v>
      </c>
      <c r="O55" s="301" t="s">
        <v>541</v>
      </c>
      <c r="T55" s="301" t="str">
        <f>IF(Z20="YES","","No PT Accelerated degree courses listed.")</f>
        <v>No PT Accelerated degree courses listed.</v>
      </c>
      <c r="AG55" s="301" t="str">
        <f t="shared" si="2"/>
        <v/>
      </c>
      <c r="AH55" s="457" t="str">
        <f t="array" ref="AH55">IF(IFERROR(INDEX($AM$11:$AM$177, MATCH(0,COUNTIF($AH$10:AH54,$AM$11:$AM$177), 0)),"")=0,"",IFERROR(INDEX($AM$11:$AM$177, MATCH(0,COUNTIF($AH$10:AH54,$AM$11:$AM$177), 0)),""))</f>
        <v/>
      </c>
      <c r="AI55" s="301" t="str">
        <f t="shared" si="3"/>
        <v/>
      </c>
      <c r="AK55" s="469" t="str">
        <f>IF('FT Fee (Franchise)'!C63="","",MAX(AK$10:AK54)+1)</f>
        <v/>
      </c>
      <c r="AL55" s="470" t="str">
        <f>IF(AND('FT Fee (Franchise)'!C63="",'FT Fee (Franchise)'!I63=""),"",'FT Fee (Franchise)'!C63)</f>
        <v/>
      </c>
      <c r="AM55" s="471" t="str">
        <f t="shared" si="9"/>
        <v/>
      </c>
    </row>
    <row r="56" spans="1:39" ht="18.75" x14ac:dyDescent="0.25">
      <c r="A56" s="71">
        <v>43</v>
      </c>
      <c r="B56" s="477" t="str">
        <f t="shared" si="11"/>
        <v/>
      </c>
      <c r="C56" s="478" t="str">
        <f t="shared" si="6"/>
        <v/>
      </c>
      <c r="D56" s="479" t="str">
        <f t="shared" si="5"/>
        <v/>
      </c>
      <c r="E56" s="413">
        <v>3</v>
      </c>
      <c r="F56" s="414">
        <v>43</v>
      </c>
      <c r="K56" s="301">
        <f>IF(ISERROR(RANK(L56,$L$23:$L$473,1)+COUNTIF($L$23:L56,L56)-1)=TRUE,"",RANK(L56,$L$23:$L$473,1)+COUNTIF($L$23:L56,L56)-1)</f>
        <v>2</v>
      </c>
      <c r="L56" s="301">
        <f t="shared" ref="L56:L87" si="12">IF(ISERROR(VLOOKUP(M56,$M$11:$M$20,1,FALSE))=TRUE,"",VLOOKUP(M56,$M$11:$P$20,3,FALSE))</f>
        <v>2</v>
      </c>
      <c r="M56" s="301" t="str">
        <f>IF(AND('FT Fee'!H22="Yes"),VLOOKUP('Fee Summary'!A14,'FT Fee'!$A$22:$K$171,2,FALSE),"")</f>
        <v>First degree</v>
      </c>
      <c r="N56" s="301" t="str">
        <f>IF(AND('FT Fee'!H22="Yes"),VLOOKUP('Fee Summary'!A14,'FT Fee'!$A$22:$K$171,3,FALSE),"")</f>
        <v xml:space="preserve">We will be charging a higher fee rate for STEM subjects </v>
      </c>
      <c r="O56" s="301">
        <f>IF(AND('FT Fee'!D22&lt;&gt;0,'FT Fee'!D22&lt;&gt;"",'FT Fee'!H22="Yes"),VLOOKUP('Fee Summary'!A14,'FT Fee'!$A$22:$K$171,9,FALSE),"")</f>
        <v>7999</v>
      </c>
      <c r="AG56" s="301" t="str">
        <f t="shared" si="2"/>
        <v/>
      </c>
      <c r="AH56" s="457" t="str">
        <f t="array" ref="AH56">IF(IFERROR(INDEX($AM$11:$AM$177, MATCH(0,COUNTIF($AH$10:AH55,$AM$11:$AM$177), 0)),"")=0,"",IFERROR(INDEX($AM$11:$AM$177, MATCH(0,COUNTIF($AH$10:AH55,$AM$11:$AM$177), 0)),""))</f>
        <v/>
      </c>
      <c r="AI56" s="301" t="str">
        <f t="shared" si="3"/>
        <v/>
      </c>
      <c r="AK56" s="469" t="str">
        <f>IF('FT Fee (Franchise)'!C64="","",MAX(AK$10:AK55)+1)</f>
        <v/>
      </c>
      <c r="AL56" s="470" t="str">
        <f>IF(AND('FT Fee (Franchise)'!C64="",'FT Fee (Franchise)'!I64=""),"",'FT Fee (Franchise)'!C64)</f>
        <v/>
      </c>
      <c r="AM56" s="471" t="str">
        <f t="shared" si="9"/>
        <v/>
      </c>
    </row>
    <row r="57" spans="1:39" ht="18.75" x14ac:dyDescent="0.25">
      <c r="A57" s="71">
        <v>44</v>
      </c>
      <c r="B57" s="477" t="str">
        <f t="shared" si="11"/>
        <v/>
      </c>
      <c r="C57" s="478" t="str">
        <f t="shared" si="6"/>
        <v/>
      </c>
      <c r="D57" s="479" t="str">
        <f t="shared" si="5"/>
        <v/>
      </c>
      <c r="E57" s="413">
        <v>3</v>
      </c>
      <c r="F57" s="414">
        <v>44</v>
      </c>
      <c r="K57" s="301">
        <f>IF(ISERROR(RANK(L57,$L$23:$L$473,1)+COUNTIF($L$23:L57,L57)-1)=TRUE,"",RANK(L57,$L$23:$L$473,1)+COUNTIF($L$23:L57,L57)-1)</f>
        <v>3</v>
      </c>
      <c r="L57" s="301">
        <f t="shared" si="12"/>
        <v>2</v>
      </c>
      <c r="M57" s="301" t="str">
        <f>IF(AND('FT Fee'!H23="Yes"),VLOOKUP('Fee Summary'!A15,'FT Fee'!$A$22:$K$171,2,FALSE),"")</f>
        <v>First degree</v>
      </c>
      <c r="N57" s="301">
        <f>IF(AND('FT Fee'!H23="Yes"),VLOOKUP('Fee Summary'!A15,'FT Fee'!$A$22:$K$171,3,FALSE),"")</f>
        <v>0</v>
      </c>
      <c r="O57" s="301">
        <f>IF(AND('FT Fee'!H23="Yes"),VLOOKUP('Fee Summary'!A15,'FT Fee'!$A$22:$K$171,9,FALSE),"")</f>
        <v>6165</v>
      </c>
      <c r="AG57" s="301" t="str">
        <f t="shared" si="2"/>
        <v/>
      </c>
      <c r="AH57" s="457" t="str">
        <f t="array" ref="AH57">IF(IFERROR(INDEX($AM$11:$AM$177, MATCH(0,COUNTIF($AH$10:AH56,$AM$11:$AM$177), 0)),"")=0,"",IFERROR(INDEX($AM$11:$AM$177, MATCH(0,COUNTIF($AH$10:AH56,$AM$11:$AM$177), 0)),""))</f>
        <v/>
      </c>
      <c r="AI57" s="301" t="str">
        <f t="shared" si="3"/>
        <v/>
      </c>
      <c r="AK57" s="469" t="str">
        <f>IF('FT Fee (Franchise)'!C65="","",MAX(AK$10:AK56)+1)</f>
        <v/>
      </c>
      <c r="AL57" s="470" t="str">
        <f>IF(AND('FT Fee (Franchise)'!C65="",'FT Fee (Franchise)'!I65=""),"",'FT Fee (Franchise)'!C65)</f>
        <v/>
      </c>
      <c r="AM57" s="471" t="str">
        <f t="shared" si="9"/>
        <v/>
      </c>
    </row>
    <row r="58" spans="1:39" ht="18.75" x14ac:dyDescent="0.25">
      <c r="A58" s="70">
        <v>45</v>
      </c>
      <c r="B58" s="477" t="str">
        <f t="shared" si="11"/>
        <v/>
      </c>
      <c r="C58" s="478" t="str">
        <f t="shared" si="6"/>
        <v/>
      </c>
      <c r="D58" s="479" t="str">
        <f t="shared" si="5"/>
        <v/>
      </c>
      <c r="E58" s="413">
        <v>3</v>
      </c>
      <c r="F58" s="414">
        <v>45</v>
      </c>
      <c r="K58" s="301">
        <f>IF(ISERROR(RANK(L58,$L$23:$L$473,1)+COUNTIF($L$23:L58,L58)-1)=TRUE,"",RANK(L58,$L$23:$L$473,1)+COUNTIF($L$23:L58,L58)-1)</f>
        <v>4</v>
      </c>
      <c r="L58" s="301">
        <f t="shared" si="12"/>
        <v>3</v>
      </c>
      <c r="M58" s="301" t="str">
        <f>IF(AND('FT Fee'!H24="Yes"),VLOOKUP('Fee Summary'!A16,'FT Fee'!$A$22:$K$171,2,FALSE),"")</f>
        <v>Foundation degree</v>
      </c>
      <c r="N58" s="301" t="str">
        <f>IF(AND('FT Fee'!H24="Yes"),VLOOKUP('Fee Summary'!A16,'FT Fee'!$A$22:$K$171,3,FALSE),"")</f>
        <v>We will be charging a higher fee rate for STEM subjects</v>
      </c>
      <c r="O58" s="301">
        <f>IF(AND('FT Fee'!H24="Yes"),VLOOKUP('Fee Summary'!A16,'FT Fee'!$A$22:$K$171,9,FALSE),"")</f>
        <v>7999</v>
      </c>
      <c r="AG58" s="301" t="str">
        <f t="shared" si="2"/>
        <v/>
      </c>
      <c r="AH58" s="457" t="str">
        <f t="array" ref="AH58">IF(IFERROR(INDEX($AM$11:$AM$177, MATCH(0,COUNTIF($AH$10:AH57,$AM$11:$AM$177), 0)),"")=0,"",IFERROR(INDEX($AM$11:$AM$177, MATCH(0,COUNTIF($AH$10:AH57,$AM$11:$AM$177), 0)),""))</f>
        <v/>
      </c>
      <c r="AI58" s="301" t="str">
        <f t="shared" si="3"/>
        <v/>
      </c>
      <c r="AK58" s="469" t="str">
        <f>IF('FT Fee (Franchise)'!C66="","",MAX(AK$10:AK57)+1)</f>
        <v/>
      </c>
      <c r="AL58" s="470" t="str">
        <f>IF(AND('FT Fee (Franchise)'!C66="",'FT Fee (Franchise)'!I66=""),"",'FT Fee (Franchise)'!C66)</f>
        <v/>
      </c>
      <c r="AM58" s="471" t="str">
        <f t="shared" si="9"/>
        <v/>
      </c>
    </row>
    <row r="59" spans="1:39" ht="18.75" x14ac:dyDescent="0.25">
      <c r="A59" s="71">
        <v>46</v>
      </c>
      <c r="B59" s="477" t="str">
        <f t="shared" si="11"/>
        <v/>
      </c>
      <c r="C59" s="478" t="str">
        <f t="shared" si="6"/>
        <v/>
      </c>
      <c r="D59" s="479" t="str">
        <f t="shared" si="5"/>
        <v/>
      </c>
      <c r="E59" s="413">
        <v>3</v>
      </c>
      <c r="F59" s="414">
        <v>46</v>
      </c>
      <c r="K59" s="301">
        <f>IF(ISERROR(RANK(L59,$L$23:$L$473,1)+COUNTIF($L$23:L59,L59)-1)=TRUE,"",RANK(L59,$L$23:$L$473,1)+COUNTIF($L$23:L59,L59)-1)</f>
        <v>5</v>
      </c>
      <c r="L59" s="301">
        <f t="shared" si="12"/>
        <v>3</v>
      </c>
      <c r="M59" s="301" t="str">
        <f>IF(AND('FT Fee'!H25="Yes"),VLOOKUP('Fee Summary'!A17,'FT Fee'!$A$22:$K$171,2,FALSE),"")</f>
        <v>Foundation degree</v>
      </c>
      <c r="N59" s="301">
        <f>IF(AND('FT Fee'!H25="Yes"),VLOOKUP('Fee Summary'!A17,'FT Fee'!$A$22:$K$171,3,FALSE),"")</f>
        <v>0</v>
      </c>
      <c r="O59" s="301">
        <f>IF(AND('FT Fee'!H25="Yes"),VLOOKUP('Fee Summary'!A17,'FT Fee'!$A$22:$K$171,9,FALSE),"")</f>
        <v>6165</v>
      </c>
      <c r="AG59" s="301" t="str">
        <f t="shared" si="2"/>
        <v/>
      </c>
      <c r="AH59" s="457" t="str">
        <f t="array" ref="AH59">IF(IFERROR(INDEX($AM$11:$AM$177, MATCH(0,COUNTIF($AH$10:AH58,$AM$11:$AM$177), 0)),"")=0,"",IFERROR(INDEX($AM$11:$AM$177, MATCH(0,COUNTIF($AH$10:AH58,$AM$11:$AM$177), 0)),""))</f>
        <v/>
      </c>
      <c r="AI59" s="301" t="str">
        <f t="shared" si="3"/>
        <v/>
      </c>
      <c r="AK59" s="469" t="str">
        <f>IF('FT Fee (Franchise)'!C67="","",MAX(AK$10:AK58)+1)</f>
        <v/>
      </c>
      <c r="AL59" s="470" t="str">
        <f>IF(AND('FT Fee (Franchise)'!C67="",'FT Fee (Franchise)'!I67=""),"",'FT Fee (Franchise)'!C67)</f>
        <v/>
      </c>
      <c r="AM59" s="471" t="str">
        <f t="shared" si="9"/>
        <v/>
      </c>
    </row>
    <row r="60" spans="1:39" ht="18.75" x14ac:dyDescent="0.25">
      <c r="A60" s="71">
        <v>47</v>
      </c>
      <c r="B60" s="477" t="str">
        <f t="shared" si="11"/>
        <v/>
      </c>
      <c r="C60" s="478" t="str">
        <f t="shared" si="6"/>
        <v/>
      </c>
      <c r="D60" s="479" t="str">
        <f t="shared" si="5"/>
        <v/>
      </c>
      <c r="E60" s="413">
        <v>3</v>
      </c>
      <c r="F60" s="414">
        <v>47</v>
      </c>
      <c r="K60" s="301" t="str">
        <f>IF(ISERROR(RANK(L60,$L$23:$L$473,1)+COUNTIF($L$23:L60,L60)-1)=TRUE,"",RANK(L60,$L$23:$L$473,1)+COUNTIF($L$23:L60,L60)-1)</f>
        <v/>
      </c>
      <c r="L60" s="301" t="str">
        <f t="shared" si="12"/>
        <v/>
      </c>
      <c r="M60" s="301" t="str">
        <f>IF(AND('FT Fee'!H26="Yes"),VLOOKUP('Fee Summary'!A18,'FT Fee'!$A$22:$K$171,2,FALSE),"")</f>
        <v/>
      </c>
      <c r="N60" s="301" t="str">
        <f>IF(AND('FT Fee'!H26="Yes"),VLOOKUP('Fee Summary'!A18,'FT Fee'!$A$22:$K$171,3,FALSE),"")</f>
        <v/>
      </c>
      <c r="O60" s="301" t="str">
        <f>IF(AND('FT Fee'!H26="Yes"),VLOOKUP('Fee Summary'!A18,'FT Fee'!$A$22:$K$171,9,FALSE),"")</f>
        <v/>
      </c>
      <c r="AG60" s="301" t="str">
        <f t="shared" si="2"/>
        <v/>
      </c>
      <c r="AH60" s="457" t="str">
        <f t="array" ref="AH60">IF(IFERROR(INDEX($AM$11:$AM$177, MATCH(0,COUNTIF($AH$10:AH59,$AM$11:$AM$177), 0)),"")=0,"",IFERROR(INDEX($AM$11:$AM$177, MATCH(0,COUNTIF($AH$10:AH59,$AM$11:$AM$177), 0)),""))</f>
        <v/>
      </c>
      <c r="AI60" s="301" t="str">
        <f t="shared" si="3"/>
        <v/>
      </c>
      <c r="AK60" s="469" t="str">
        <f>IF('FT Fee (Franchise)'!C68="","",MAX(AK$10:AK59)+1)</f>
        <v/>
      </c>
      <c r="AL60" s="470" t="str">
        <f>IF(AND('FT Fee (Franchise)'!C68="",'FT Fee (Franchise)'!I68=""),"",'FT Fee (Franchise)'!C68)</f>
        <v/>
      </c>
      <c r="AM60" s="471" t="str">
        <f t="shared" si="9"/>
        <v/>
      </c>
    </row>
    <row r="61" spans="1:39" ht="18.75" x14ac:dyDescent="0.25">
      <c r="A61" s="71">
        <v>48</v>
      </c>
      <c r="B61" s="477" t="str">
        <f t="shared" si="11"/>
        <v/>
      </c>
      <c r="C61" s="478" t="str">
        <f t="shared" si="6"/>
        <v/>
      </c>
      <c r="D61" s="479" t="str">
        <f t="shared" si="5"/>
        <v/>
      </c>
      <c r="E61" s="413">
        <v>3</v>
      </c>
      <c r="F61" s="414">
        <v>48</v>
      </c>
      <c r="K61" s="301" t="str">
        <f>IF(ISERROR(RANK(L61,$L$23:$L$473,1)+COUNTIF($L$23:L61,L61)-1)=TRUE,"",RANK(L61,$L$23:$L$473,1)+COUNTIF($L$23:L61,L61)-1)</f>
        <v/>
      </c>
      <c r="L61" s="301" t="str">
        <f t="shared" si="12"/>
        <v/>
      </c>
      <c r="M61" s="301" t="str">
        <f>IF(AND('FT Fee'!H27="Yes"),VLOOKUP('Fee Summary'!A19,'FT Fee'!$A$22:$K$171,2,FALSE),"")</f>
        <v/>
      </c>
      <c r="N61" s="301" t="str">
        <f>IF(AND('FT Fee'!H27="Yes"),VLOOKUP('Fee Summary'!A19,'FT Fee'!$A$22:$K$171,3,FALSE),"")</f>
        <v/>
      </c>
      <c r="O61" s="301" t="str">
        <f>IF(AND('FT Fee'!H27="Yes"),VLOOKUP('Fee Summary'!A19,'FT Fee'!$A$22:$K$171,9,FALSE),"")</f>
        <v/>
      </c>
      <c r="AG61" s="301" t="str">
        <f t="shared" si="2"/>
        <v/>
      </c>
      <c r="AH61" s="457" t="str">
        <f t="array" ref="AH61">IF(IFERROR(INDEX($AM$11:$AM$177, MATCH(0,COUNTIF($AH$10:AH60,$AM$11:$AM$177), 0)),"")=0,"",IFERROR(INDEX($AM$11:$AM$177, MATCH(0,COUNTIF($AH$10:AH60,$AM$11:$AM$177), 0)),""))</f>
        <v/>
      </c>
      <c r="AI61" s="301" t="str">
        <f t="shared" si="3"/>
        <v/>
      </c>
      <c r="AK61" s="469" t="str">
        <f>IF('FT Fee (Franchise)'!C69="","",MAX(AK$10:AK60)+1)</f>
        <v/>
      </c>
      <c r="AL61" s="470" t="str">
        <f>IF(AND('FT Fee (Franchise)'!C69="",'FT Fee (Franchise)'!I69=""),"",'FT Fee (Franchise)'!C69)</f>
        <v/>
      </c>
      <c r="AM61" s="471" t="str">
        <f t="shared" si="9"/>
        <v/>
      </c>
    </row>
    <row r="62" spans="1:39" ht="18.75" x14ac:dyDescent="0.25">
      <c r="A62" s="70">
        <v>49</v>
      </c>
      <c r="B62" s="477" t="str">
        <f t="shared" si="11"/>
        <v/>
      </c>
      <c r="C62" s="478" t="str">
        <f t="shared" si="6"/>
        <v/>
      </c>
      <c r="D62" s="479" t="str">
        <f t="shared" si="5"/>
        <v/>
      </c>
      <c r="E62" s="413">
        <v>3</v>
      </c>
      <c r="F62" s="414">
        <v>49</v>
      </c>
      <c r="K62" s="301" t="str">
        <f>IF(ISERROR(RANK(L62,$L$23:$L$473,1)+COUNTIF($L$23:L62,L62)-1)=TRUE,"",RANK(L62,$L$23:$L$473,1)+COUNTIF($L$23:L62,L62)-1)</f>
        <v/>
      </c>
      <c r="L62" s="301" t="str">
        <f t="shared" si="12"/>
        <v/>
      </c>
      <c r="M62" s="301" t="str">
        <f>IF(AND('FT Fee'!H28="Yes"),VLOOKUP('Fee Summary'!A20,'FT Fee'!$A$22:$K$171,2,FALSE),"")</f>
        <v/>
      </c>
      <c r="N62" s="301" t="str">
        <f>IF(AND('FT Fee'!H28="Yes"),VLOOKUP('Fee Summary'!A20,'FT Fee'!$A$22:$K$171,3,FALSE),"")</f>
        <v/>
      </c>
      <c r="O62" s="301" t="str">
        <f>IF(AND('FT Fee'!H28="Yes"),VLOOKUP('Fee Summary'!A20,'FT Fee'!$A$22:$K$171,9,FALSE),"")</f>
        <v/>
      </c>
      <c r="AG62" s="301" t="str">
        <f t="shared" si="2"/>
        <v/>
      </c>
      <c r="AH62" s="457" t="str">
        <f t="array" ref="AH62">IF(IFERROR(INDEX($AM$11:$AM$177, MATCH(0,COUNTIF($AH$10:AH61,$AM$11:$AM$177), 0)),"")=0,"",IFERROR(INDEX($AM$11:$AM$177, MATCH(0,COUNTIF($AH$10:AH61,$AM$11:$AM$177), 0)),""))</f>
        <v/>
      </c>
      <c r="AI62" s="301" t="str">
        <f t="shared" si="3"/>
        <v/>
      </c>
      <c r="AK62" s="469" t="str">
        <f>IF('FT Fee (Franchise)'!C70="","",MAX(AK$10:AK61)+1)</f>
        <v/>
      </c>
      <c r="AL62" s="470" t="str">
        <f>IF(AND('FT Fee (Franchise)'!C70="",'FT Fee (Franchise)'!I70=""),"",'FT Fee (Franchise)'!C70)</f>
        <v/>
      </c>
      <c r="AM62" s="471" t="str">
        <f t="shared" si="9"/>
        <v/>
      </c>
    </row>
    <row r="63" spans="1:39" ht="18.75" x14ac:dyDescent="0.25">
      <c r="A63" s="71">
        <v>50</v>
      </c>
      <c r="B63" s="477" t="str">
        <f t="shared" si="11"/>
        <v/>
      </c>
      <c r="C63" s="478" t="str">
        <f t="shared" si="6"/>
        <v/>
      </c>
      <c r="D63" s="479" t="str">
        <f t="shared" si="5"/>
        <v/>
      </c>
      <c r="E63" s="413">
        <v>3</v>
      </c>
      <c r="F63" s="414">
        <v>50</v>
      </c>
      <c r="K63" s="301" t="str">
        <f>IF(ISERROR(RANK(L63,$L$23:$L$473,1)+COUNTIF($L$23:L63,L63)-1)=TRUE,"",RANK(L63,$L$23:$L$473,1)+COUNTIF($L$23:L63,L63)-1)</f>
        <v/>
      </c>
      <c r="L63" s="301" t="str">
        <f t="shared" si="12"/>
        <v/>
      </c>
      <c r="M63" s="301" t="str">
        <f>IF(AND('FT Fee'!H29="Yes"),VLOOKUP('Fee Summary'!A21,'FT Fee'!$A$22:$K$171,2,FALSE),"")</f>
        <v/>
      </c>
      <c r="N63" s="301" t="str">
        <f>IF(AND('FT Fee'!H29="Yes"),VLOOKUP('Fee Summary'!A21,'FT Fee'!$A$22:$K$171,3,FALSE),"")</f>
        <v/>
      </c>
      <c r="O63" s="301" t="str">
        <f>IF(AND('FT Fee'!H29="Yes"),VLOOKUP('Fee Summary'!A21,'FT Fee'!$A$22:$K$171,9,FALSE),"")</f>
        <v/>
      </c>
      <c r="AG63" s="301" t="str">
        <f t="shared" si="2"/>
        <v/>
      </c>
      <c r="AH63" s="457" t="str">
        <f t="array" ref="AH63">IF(IFERROR(INDEX($AM$11:$AM$177, MATCH(0,COUNTIF($AH$10:AH62,$AM$11:$AM$177), 0)),"")=0,"",IFERROR(INDEX($AM$11:$AM$177, MATCH(0,COUNTIF($AH$10:AH62,$AM$11:$AM$177), 0)),""))</f>
        <v/>
      </c>
      <c r="AI63" s="301" t="str">
        <f t="shared" si="3"/>
        <v/>
      </c>
      <c r="AK63" s="469" t="str">
        <f>IF('FT Fee (Franchise)'!C71="","",MAX(AK$10:AK62)+1)</f>
        <v/>
      </c>
      <c r="AL63" s="470" t="str">
        <f>IF(AND('FT Fee (Franchise)'!C71="",'FT Fee (Franchise)'!I71=""),"",'FT Fee (Franchise)'!C71)</f>
        <v/>
      </c>
      <c r="AM63" s="471" t="str">
        <f t="shared" si="9"/>
        <v/>
      </c>
    </row>
    <row r="64" spans="1:39" ht="18.75" x14ac:dyDescent="0.25">
      <c r="A64" s="71">
        <v>51</v>
      </c>
      <c r="B64" s="477" t="str">
        <f t="shared" si="11"/>
        <v/>
      </c>
      <c r="C64" s="478" t="str">
        <f t="shared" si="6"/>
        <v/>
      </c>
      <c r="D64" s="479" t="str">
        <f t="shared" si="5"/>
        <v/>
      </c>
      <c r="E64" s="413">
        <v>3</v>
      </c>
      <c r="F64" s="414">
        <v>51</v>
      </c>
      <c r="K64" s="301" t="str">
        <f>IF(ISERROR(RANK(L64,$L$23:$L$473,1)+COUNTIF($L$23:L64,L64)-1)=TRUE,"",RANK(L64,$L$23:$L$473,1)+COUNTIF($L$23:L64,L64)-1)</f>
        <v/>
      </c>
      <c r="L64" s="301" t="str">
        <f t="shared" si="12"/>
        <v/>
      </c>
      <c r="M64" s="301" t="str">
        <f>IF(AND('FT Fee'!H30="Yes"),VLOOKUP('Fee Summary'!A22,'FT Fee'!$A$22:$K$171,2,FALSE),"")</f>
        <v/>
      </c>
      <c r="N64" s="301" t="str">
        <f>IF(AND('FT Fee'!H30="Yes"),VLOOKUP('Fee Summary'!A22,'FT Fee'!$A$22:$K$171,3,FALSE),"")</f>
        <v/>
      </c>
      <c r="O64" s="301" t="str">
        <f>IF(AND('FT Fee'!H30="Yes"),VLOOKUP('Fee Summary'!A22,'FT Fee'!$A$22:$K$171,9,FALSE),"")</f>
        <v/>
      </c>
      <c r="AG64" s="301" t="str">
        <f t="shared" si="2"/>
        <v/>
      </c>
      <c r="AH64" s="457" t="str">
        <f t="array" ref="AH64">IF(IFERROR(INDEX($AM$11:$AM$177, MATCH(0,COUNTIF($AH$10:AH63,$AM$11:$AM$177), 0)),"")=0,"",IFERROR(INDEX($AM$11:$AM$177, MATCH(0,COUNTIF($AH$10:AH63,$AM$11:$AM$177), 0)),""))</f>
        <v/>
      </c>
      <c r="AI64" s="301" t="str">
        <f t="shared" si="3"/>
        <v/>
      </c>
      <c r="AK64" s="469" t="str">
        <f>IF('FT Fee (Franchise)'!C72="","",MAX(AK$10:AK63)+1)</f>
        <v/>
      </c>
      <c r="AL64" s="470" t="str">
        <f>IF(AND('FT Fee (Franchise)'!C72="",'FT Fee (Franchise)'!I72=""),"",'FT Fee (Franchise)'!C72)</f>
        <v/>
      </c>
      <c r="AM64" s="471" t="str">
        <f t="shared" si="9"/>
        <v/>
      </c>
    </row>
    <row r="65" spans="1:39" ht="18.75" x14ac:dyDescent="0.25">
      <c r="A65" s="71">
        <v>52</v>
      </c>
      <c r="B65" s="477" t="str">
        <f t="shared" si="11"/>
        <v/>
      </c>
      <c r="C65" s="478" t="str">
        <f t="shared" si="6"/>
        <v/>
      </c>
      <c r="D65" s="479" t="str">
        <f t="shared" si="5"/>
        <v/>
      </c>
      <c r="E65" s="413">
        <v>3</v>
      </c>
      <c r="F65" s="414">
        <v>52</v>
      </c>
      <c r="K65" s="301" t="str">
        <f>IF(ISERROR(RANK(L65,$L$23:$L$473,1)+COUNTIF($L$23:L65,L65)-1)=TRUE,"",RANK(L65,$L$23:$L$473,1)+COUNTIF($L$23:L65,L65)-1)</f>
        <v/>
      </c>
      <c r="L65" s="301" t="str">
        <f t="shared" si="12"/>
        <v/>
      </c>
      <c r="M65" s="301" t="str">
        <f>IF(AND('FT Fee'!H31="Yes"),VLOOKUP('Fee Summary'!A23,'FT Fee'!$A$22:$K$171,2,FALSE),"")</f>
        <v/>
      </c>
      <c r="N65" s="301" t="str">
        <f>IF(AND('FT Fee'!H31="Yes"),VLOOKUP('Fee Summary'!A23,'FT Fee'!$A$22:$K$171,3,FALSE),"")</f>
        <v/>
      </c>
      <c r="O65" s="301" t="str">
        <f>IF(AND('FT Fee'!H31="Yes"),VLOOKUP('Fee Summary'!A23,'FT Fee'!$A$22:$K$171,9,FALSE),"")</f>
        <v/>
      </c>
      <c r="AG65" s="301" t="str">
        <f t="shared" si="2"/>
        <v/>
      </c>
      <c r="AH65" s="457" t="str">
        <f t="array" ref="AH65">IF(IFERROR(INDEX($AM$11:$AM$177, MATCH(0,COUNTIF($AH$10:AH64,$AM$11:$AM$177), 0)),"")=0,"",IFERROR(INDEX($AM$11:$AM$177, MATCH(0,COUNTIF($AH$10:AH64,$AM$11:$AM$177), 0)),""))</f>
        <v/>
      </c>
      <c r="AI65" s="301" t="str">
        <f t="shared" si="3"/>
        <v/>
      </c>
      <c r="AK65" s="469" t="str">
        <f>IF('FT Fee (Franchise)'!C73="","",MAX(AK$10:AK64)+1)</f>
        <v/>
      </c>
      <c r="AL65" s="470" t="str">
        <f>IF(AND('FT Fee (Franchise)'!C73="",'FT Fee (Franchise)'!I73=""),"",'FT Fee (Franchise)'!C73)</f>
        <v/>
      </c>
      <c r="AM65" s="471" t="str">
        <f t="shared" si="9"/>
        <v/>
      </c>
    </row>
    <row r="66" spans="1:39" ht="18.75" x14ac:dyDescent="0.25">
      <c r="A66" s="70">
        <v>53</v>
      </c>
      <c r="B66" s="477" t="str">
        <f t="shared" si="11"/>
        <v/>
      </c>
      <c r="C66" s="478" t="str">
        <f t="shared" si="6"/>
        <v/>
      </c>
      <c r="D66" s="479" t="str">
        <f t="shared" si="5"/>
        <v/>
      </c>
      <c r="E66" s="413">
        <v>3</v>
      </c>
      <c r="F66" s="414">
        <v>53</v>
      </c>
      <c r="K66" s="301" t="str">
        <f>IF(ISERROR(RANK(L66,$L$23:$L$473,1)+COUNTIF($L$23:L66,L66)-1)=TRUE,"",RANK(L66,$L$23:$L$473,1)+COUNTIF($L$23:L66,L66)-1)</f>
        <v/>
      </c>
      <c r="L66" s="301" t="str">
        <f t="shared" si="12"/>
        <v/>
      </c>
      <c r="M66" s="301" t="str">
        <f>IF(AND('FT Fee'!H32="Yes"),VLOOKUP('Fee Summary'!A24,'FT Fee'!$A$22:$K$171,2,FALSE),"")</f>
        <v/>
      </c>
      <c r="N66" s="301" t="str">
        <f>IF(AND('FT Fee'!H32="Yes"),VLOOKUP('Fee Summary'!A24,'FT Fee'!$A$22:$K$171,3,FALSE),"")</f>
        <v/>
      </c>
      <c r="O66" s="301" t="str">
        <f>IF(AND('FT Fee'!H32="Yes"),VLOOKUP('Fee Summary'!A24,'FT Fee'!$A$22:$K$171,9,FALSE),"")</f>
        <v/>
      </c>
      <c r="AG66" s="301" t="str">
        <f t="shared" si="2"/>
        <v/>
      </c>
      <c r="AH66" s="457" t="str">
        <f t="array" ref="AH66">IF(IFERROR(INDEX($AM$11:$AM$177, MATCH(0,COUNTIF($AH$10:AH65,$AM$11:$AM$177), 0)),"")=0,"",IFERROR(INDEX($AM$11:$AM$177, MATCH(0,COUNTIF($AH$10:AH65,$AM$11:$AM$177), 0)),""))</f>
        <v/>
      </c>
      <c r="AI66" s="301" t="str">
        <f t="shared" si="3"/>
        <v/>
      </c>
      <c r="AK66" s="469" t="str">
        <f>IF('FT Fee (Franchise)'!C74="","",MAX(AK$10:AK65)+1)</f>
        <v/>
      </c>
      <c r="AL66" s="470" t="str">
        <f>IF(AND('FT Fee (Franchise)'!C74="",'FT Fee (Franchise)'!I74=""),"",'FT Fee (Franchise)'!C74)</f>
        <v/>
      </c>
      <c r="AM66" s="471" t="str">
        <f t="shared" si="9"/>
        <v/>
      </c>
    </row>
    <row r="67" spans="1:39" ht="18.75" x14ac:dyDescent="0.25">
      <c r="A67" s="71">
        <v>54</v>
      </c>
      <c r="B67" s="477" t="str">
        <f t="shared" si="11"/>
        <v/>
      </c>
      <c r="C67" s="478" t="str">
        <f t="shared" si="6"/>
        <v/>
      </c>
      <c r="D67" s="479" t="str">
        <f t="shared" si="5"/>
        <v/>
      </c>
      <c r="E67" s="413">
        <v>3</v>
      </c>
      <c r="F67" s="414">
        <v>54</v>
      </c>
      <c r="K67" s="301" t="str">
        <f>IF(ISERROR(RANK(L67,$L$23:$L$473,1)+COUNTIF($L$23:L67,L67)-1)=TRUE,"",RANK(L67,$L$23:$L$473,1)+COUNTIF($L$23:L67,L67)-1)</f>
        <v/>
      </c>
      <c r="L67" s="301" t="str">
        <f t="shared" si="12"/>
        <v/>
      </c>
      <c r="M67" s="301" t="str">
        <f>IF(AND('FT Fee'!H33="Yes"),VLOOKUP('Fee Summary'!A25,'FT Fee'!$A$22:$K$171,2,FALSE),"")</f>
        <v/>
      </c>
      <c r="N67" s="301" t="str">
        <f>IF(AND('FT Fee'!H33="Yes"),VLOOKUP('Fee Summary'!A25,'FT Fee'!$A$22:$K$171,3,FALSE),"")</f>
        <v/>
      </c>
      <c r="O67" s="301" t="str">
        <f>IF(AND('FT Fee'!H33="Yes"),VLOOKUP('Fee Summary'!A25,'FT Fee'!$A$22:$K$171,9,FALSE),"")</f>
        <v/>
      </c>
      <c r="AG67" s="301" t="str">
        <f t="shared" si="2"/>
        <v/>
      </c>
      <c r="AH67" s="457" t="str">
        <f t="array" ref="AH67">IF(IFERROR(INDEX($AM$11:$AM$177, MATCH(0,COUNTIF($AH$10:AH66,$AM$11:$AM$177), 0)),"")=0,"",IFERROR(INDEX($AM$11:$AM$177, MATCH(0,COUNTIF($AH$10:AH66,$AM$11:$AM$177), 0)),""))</f>
        <v/>
      </c>
      <c r="AI67" s="301" t="str">
        <f t="shared" si="3"/>
        <v/>
      </c>
      <c r="AK67" s="469" t="str">
        <f>IF('FT Fee (Franchise)'!C75="","",MAX(AK$10:AK66)+1)</f>
        <v/>
      </c>
      <c r="AL67" s="470" t="str">
        <f>IF(AND('FT Fee (Franchise)'!C75="",'FT Fee (Franchise)'!I75=""),"",'FT Fee (Franchise)'!C75)</f>
        <v/>
      </c>
      <c r="AM67" s="471" t="str">
        <f t="shared" si="9"/>
        <v/>
      </c>
    </row>
    <row r="68" spans="1:39" ht="18.75" x14ac:dyDescent="0.25">
      <c r="A68" s="71">
        <v>55</v>
      </c>
      <c r="B68" s="477" t="str">
        <f t="shared" si="11"/>
        <v/>
      </c>
      <c r="C68" s="478" t="str">
        <f t="shared" si="6"/>
        <v/>
      </c>
      <c r="D68" s="479" t="str">
        <f t="shared" si="5"/>
        <v/>
      </c>
      <c r="E68" s="413">
        <v>3</v>
      </c>
      <c r="F68" s="414">
        <v>55</v>
      </c>
      <c r="K68" s="301" t="str">
        <f>IF(ISERROR(RANK(L68,$L$23:$L$473,1)+COUNTIF($L$23:L68,L68)-1)=TRUE,"",RANK(L68,$L$23:$L$473,1)+COUNTIF($L$23:L68,L68)-1)</f>
        <v/>
      </c>
      <c r="L68" s="301" t="str">
        <f t="shared" si="12"/>
        <v/>
      </c>
      <c r="M68" s="301" t="str">
        <f>IF(AND('FT Fee'!H34="Yes"),VLOOKUP('Fee Summary'!A26,'FT Fee'!$A$22:$K$171,2,FALSE),"")</f>
        <v/>
      </c>
      <c r="N68" s="301" t="str">
        <f>IF(AND('FT Fee'!H34="Yes"),VLOOKUP('Fee Summary'!A26,'FT Fee'!$A$22:$K$171,3,FALSE),"")</f>
        <v/>
      </c>
      <c r="O68" s="301" t="str">
        <f>IF(AND('FT Fee'!H34="Yes"),VLOOKUP('Fee Summary'!A26,'FT Fee'!$A$22:$K$171,9,FALSE),"")</f>
        <v/>
      </c>
      <c r="AG68" s="301" t="str">
        <f t="shared" si="2"/>
        <v/>
      </c>
      <c r="AH68" s="457" t="str">
        <f t="array" ref="AH68">IF(IFERROR(INDEX($AM$11:$AM$177, MATCH(0,COUNTIF($AH$10:AH67,$AM$11:$AM$177), 0)),"")=0,"",IFERROR(INDEX($AM$11:$AM$177, MATCH(0,COUNTIF($AH$10:AH67,$AM$11:$AM$177), 0)),""))</f>
        <v/>
      </c>
      <c r="AI68" s="301" t="str">
        <f t="shared" si="3"/>
        <v/>
      </c>
      <c r="AK68" s="469" t="str">
        <f>IF('FT Fee (Franchise)'!C76="","",MAX(AK$10:AK67)+1)</f>
        <v/>
      </c>
      <c r="AL68" s="470" t="str">
        <f>IF(AND('FT Fee (Franchise)'!C76="",'FT Fee (Franchise)'!I76=""),"",'FT Fee (Franchise)'!C76)</f>
        <v/>
      </c>
      <c r="AM68" s="471" t="str">
        <f t="shared" si="9"/>
        <v/>
      </c>
    </row>
    <row r="69" spans="1:39" ht="18.75" x14ac:dyDescent="0.25">
      <c r="A69" s="71">
        <v>56</v>
      </c>
      <c r="B69" s="477" t="str">
        <f t="shared" si="11"/>
        <v/>
      </c>
      <c r="C69" s="478" t="str">
        <f t="shared" si="6"/>
        <v/>
      </c>
      <c r="D69" s="479" t="str">
        <f t="shared" si="5"/>
        <v/>
      </c>
      <c r="E69" s="413">
        <v>3</v>
      </c>
      <c r="F69" s="414">
        <v>56</v>
      </c>
      <c r="K69" s="301" t="str">
        <f>IF(ISERROR(RANK(L69,$L$23:$L$473,1)+COUNTIF($L$23:L69,L69)-1)=TRUE,"",RANK(L69,$L$23:$L$473,1)+COUNTIF($L$23:L69,L69)-1)</f>
        <v/>
      </c>
      <c r="L69" s="301" t="str">
        <f t="shared" si="12"/>
        <v/>
      </c>
      <c r="M69" s="301" t="str">
        <f>IF(AND('FT Fee'!H35="Yes"),VLOOKUP('Fee Summary'!A27,'FT Fee'!$A$22:$K$171,2,FALSE),"")</f>
        <v/>
      </c>
      <c r="N69" s="301" t="str">
        <f>IF(AND('FT Fee'!H35="Yes"),VLOOKUP('Fee Summary'!A27,'FT Fee'!$A$22:$K$171,3,FALSE),"")</f>
        <v/>
      </c>
      <c r="O69" s="301" t="str">
        <f>IF(AND('FT Fee'!H35="Yes"),VLOOKUP('Fee Summary'!A27,'FT Fee'!$A$22:$K$171,9,FALSE),"")</f>
        <v/>
      </c>
      <c r="AG69" s="301" t="str">
        <f t="shared" si="2"/>
        <v/>
      </c>
      <c r="AH69" s="457" t="str">
        <f t="array" ref="AH69">IF(IFERROR(INDEX($AM$11:$AM$177, MATCH(0,COUNTIF($AH$10:AH68,$AM$11:$AM$177), 0)),"")=0,"",IFERROR(INDEX($AM$11:$AM$177, MATCH(0,COUNTIF($AH$10:AH68,$AM$11:$AM$177), 0)),""))</f>
        <v/>
      </c>
      <c r="AI69" s="301" t="str">
        <f t="shared" si="3"/>
        <v/>
      </c>
      <c r="AK69" s="469" t="str">
        <f>IF('FT Fee (Franchise)'!C77="","",MAX(AK$10:AK68)+1)</f>
        <v/>
      </c>
      <c r="AL69" s="470" t="str">
        <f>IF(AND('FT Fee (Franchise)'!C77="",'FT Fee (Franchise)'!I77=""),"",'FT Fee (Franchise)'!C77)</f>
        <v/>
      </c>
      <c r="AM69" s="471" t="str">
        <f t="shared" si="9"/>
        <v/>
      </c>
    </row>
    <row r="70" spans="1:39" ht="18.75" x14ac:dyDescent="0.25">
      <c r="A70" s="70">
        <v>57</v>
      </c>
      <c r="B70" s="477" t="str">
        <f t="shared" si="11"/>
        <v/>
      </c>
      <c r="C70" s="478" t="str">
        <f t="shared" si="6"/>
        <v/>
      </c>
      <c r="D70" s="479" t="str">
        <f t="shared" si="5"/>
        <v/>
      </c>
      <c r="E70" s="413">
        <v>3</v>
      </c>
      <c r="F70" s="414">
        <v>57</v>
      </c>
      <c r="K70" s="301" t="str">
        <f>IF(ISERROR(RANK(L70,$L$23:$L$473,1)+COUNTIF($L$23:L70,L70)-1)=TRUE,"",RANK(L70,$L$23:$L$473,1)+COUNTIF($L$23:L70,L70)-1)</f>
        <v/>
      </c>
      <c r="L70" s="301" t="str">
        <f t="shared" si="12"/>
        <v/>
      </c>
      <c r="M70" s="301" t="str">
        <f>IF(AND('FT Fee'!H36="Yes"),VLOOKUP('Fee Summary'!A28,'FT Fee'!$A$22:$K$171,2,FALSE),"")</f>
        <v/>
      </c>
      <c r="N70" s="301" t="str">
        <f>IF(AND('FT Fee'!H36="Yes"),VLOOKUP('Fee Summary'!A28,'FT Fee'!$A$22:$K$171,3,FALSE),"")</f>
        <v/>
      </c>
      <c r="O70" s="301" t="str">
        <f>IF(AND('FT Fee'!H36="Yes"),VLOOKUP('Fee Summary'!A28,'FT Fee'!$A$22:$K$171,9,FALSE),"")</f>
        <v/>
      </c>
      <c r="AG70" s="301" t="str">
        <f t="shared" si="2"/>
        <v/>
      </c>
      <c r="AH70" s="457" t="str">
        <f t="array" ref="AH70">IF(IFERROR(INDEX($AM$11:$AM$177, MATCH(0,COUNTIF($AH$10:AH69,$AM$11:$AM$177), 0)),"")=0,"",IFERROR(INDEX($AM$11:$AM$177, MATCH(0,COUNTIF($AH$10:AH69,$AM$11:$AM$177), 0)),""))</f>
        <v/>
      </c>
      <c r="AI70" s="301" t="str">
        <f t="shared" si="3"/>
        <v/>
      </c>
      <c r="AK70" s="469" t="str">
        <f>IF('FT Fee (Franchise)'!C78="","",MAX(AK$10:AK69)+1)</f>
        <v/>
      </c>
      <c r="AL70" s="470" t="str">
        <f>IF(AND('FT Fee (Franchise)'!C78="",'FT Fee (Franchise)'!I78=""),"",'FT Fee (Franchise)'!C78)</f>
        <v/>
      </c>
      <c r="AM70" s="471" t="str">
        <f t="shared" si="9"/>
        <v/>
      </c>
    </row>
    <row r="71" spans="1:39" ht="18.75" x14ac:dyDescent="0.25">
      <c r="A71" s="71">
        <v>58</v>
      </c>
      <c r="B71" s="477" t="str">
        <f t="shared" si="11"/>
        <v/>
      </c>
      <c r="C71" s="478" t="str">
        <f t="shared" si="6"/>
        <v/>
      </c>
      <c r="D71" s="479" t="str">
        <f t="shared" si="5"/>
        <v/>
      </c>
      <c r="E71" s="413">
        <v>3</v>
      </c>
      <c r="F71" s="414">
        <v>58</v>
      </c>
      <c r="K71" s="301" t="str">
        <f>IF(ISERROR(RANK(L71,$L$23:$L$473,1)+COUNTIF($L$23:L71,L71)-1)=TRUE,"",RANK(L71,$L$23:$L$473,1)+COUNTIF($L$23:L71,L71)-1)</f>
        <v/>
      </c>
      <c r="L71" s="301" t="str">
        <f t="shared" si="12"/>
        <v/>
      </c>
      <c r="M71" s="301" t="str">
        <f>IF(AND('FT Fee'!H37="Yes"),VLOOKUP('Fee Summary'!A29,'FT Fee'!$A$22:$K$171,2,FALSE),"")</f>
        <v/>
      </c>
      <c r="N71" s="301" t="str">
        <f>IF(AND('FT Fee'!H37="Yes"),VLOOKUP('Fee Summary'!A29,'FT Fee'!$A$22:$K$171,3,FALSE),"")</f>
        <v/>
      </c>
      <c r="O71" s="301" t="str">
        <f>IF(AND('FT Fee'!H37="Yes"),VLOOKUP('Fee Summary'!A29,'FT Fee'!$A$22:$K$171,9,FALSE),"")</f>
        <v/>
      </c>
      <c r="AG71" s="301" t="str">
        <f t="shared" si="2"/>
        <v/>
      </c>
      <c r="AH71" s="457" t="str">
        <f t="array" ref="AH71">IF(IFERROR(INDEX($AM$11:$AM$177, MATCH(0,COUNTIF($AH$10:AH70,$AM$11:$AM$177), 0)),"")=0,"",IFERROR(INDEX($AM$11:$AM$177, MATCH(0,COUNTIF($AH$10:AH70,$AM$11:$AM$177), 0)),""))</f>
        <v/>
      </c>
      <c r="AI71" s="301" t="str">
        <f t="shared" si="3"/>
        <v/>
      </c>
      <c r="AK71" s="469" t="str">
        <f>IF('FT Fee (Franchise)'!C79="","",MAX(AK$10:AK70)+1)</f>
        <v/>
      </c>
      <c r="AL71" s="470" t="str">
        <f>IF(AND('FT Fee (Franchise)'!C79="",'FT Fee (Franchise)'!I79=""),"",'FT Fee (Franchise)'!C79)</f>
        <v/>
      </c>
      <c r="AM71" s="471" t="str">
        <f t="shared" si="9"/>
        <v/>
      </c>
    </row>
    <row r="72" spans="1:39" ht="18.75" x14ac:dyDescent="0.25">
      <c r="A72" s="71">
        <v>59</v>
      </c>
      <c r="B72" s="477" t="str">
        <f t="shared" si="11"/>
        <v/>
      </c>
      <c r="C72" s="478" t="str">
        <f t="shared" si="6"/>
        <v/>
      </c>
      <c r="D72" s="479" t="str">
        <f t="shared" si="5"/>
        <v/>
      </c>
      <c r="E72" s="413">
        <v>3</v>
      </c>
      <c r="F72" s="414">
        <v>59</v>
      </c>
      <c r="K72" s="301" t="str">
        <f>IF(ISERROR(RANK(L72,$L$23:$L$473,1)+COUNTIF($L$23:L72,L72)-1)=TRUE,"",RANK(L72,$L$23:$L$473,1)+COUNTIF($L$23:L72,L72)-1)</f>
        <v/>
      </c>
      <c r="L72" s="301" t="str">
        <f t="shared" si="12"/>
        <v/>
      </c>
      <c r="M72" s="301" t="str">
        <f>IF(AND('FT Fee'!H38="Yes"),VLOOKUP('Fee Summary'!A30,'FT Fee'!$A$22:$K$171,2,FALSE),"")</f>
        <v/>
      </c>
      <c r="N72" s="301" t="str">
        <f>IF(AND('FT Fee'!H38="Yes"),VLOOKUP('Fee Summary'!A30,'FT Fee'!$A$22:$K$171,3,FALSE),"")</f>
        <v/>
      </c>
      <c r="O72" s="301" t="str">
        <f>IF(AND('FT Fee'!H38="Yes"),VLOOKUP('Fee Summary'!A30,'FT Fee'!$A$22:$K$171,9,FALSE),"")</f>
        <v/>
      </c>
      <c r="AG72" s="301" t="str">
        <f t="shared" si="2"/>
        <v/>
      </c>
      <c r="AH72" s="457" t="str">
        <f t="array" ref="AH72">IF(IFERROR(INDEX($AM$11:$AM$177, MATCH(0,COUNTIF($AH$10:AH71,$AM$11:$AM$177), 0)),"")=0,"",IFERROR(INDEX($AM$11:$AM$177, MATCH(0,COUNTIF($AH$10:AH71,$AM$11:$AM$177), 0)),""))</f>
        <v/>
      </c>
      <c r="AI72" s="301" t="str">
        <f t="shared" si="3"/>
        <v/>
      </c>
      <c r="AK72" s="469" t="str">
        <f>IF('FT Fee (Franchise)'!C80="","",MAX(AK$10:AK71)+1)</f>
        <v/>
      </c>
      <c r="AL72" s="470" t="str">
        <f>IF(AND('FT Fee (Franchise)'!C80="",'FT Fee (Franchise)'!I80=""),"",'FT Fee (Franchise)'!C80)</f>
        <v/>
      </c>
      <c r="AM72" s="471" t="str">
        <f t="shared" si="9"/>
        <v/>
      </c>
    </row>
    <row r="73" spans="1:39" ht="18.75" x14ac:dyDescent="0.25">
      <c r="A73" s="71">
        <v>60</v>
      </c>
      <c r="B73" s="477" t="str">
        <f t="shared" si="11"/>
        <v/>
      </c>
      <c r="C73" s="478" t="str">
        <f t="shared" si="6"/>
        <v/>
      </c>
      <c r="D73" s="479" t="str">
        <f t="shared" si="5"/>
        <v/>
      </c>
      <c r="E73" s="413">
        <v>3</v>
      </c>
      <c r="F73" s="414">
        <v>60</v>
      </c>
      <c r="K73" s="301" t="str">
        <f>IF(ISERROR(RANK(L73,$L$23:$L$473,1)+COUNTIF($L$23:L73,L73)-1)=TRUE,"",RANK(L73,$L$23:$L$473,1)+COUNTIF($L$23:L73,L73)-1)</f>
        <v/>
      </c>
      <c r="L73" s="301" t="str">
        <f t="shared" si="12"/>
        <v/>
      </c>
      <c r="M73" s="301" t="str">
        <f>IF(AND('FT Fee'!H39="Yes"),VLOOKUP('Fee Summary'!A31,'FT Fee'!$A$22:$K$171,2,FALSE),"")</f>
        <v/>
      </c>
      <c r="N73" s="301" t="str">
        <f>IF(AND('FT Fee'!H39="Yes"),VLOOKUP('Fee Summary'!A31,'FT Fee'!$A$22:$K$171,3,FALSE),"")</f>
        <v/>
      </c>
      <c r="O73" s="301" t="str">
        <f>IF(AND('FT Fee'!H39="Yes"),VLOOKUP('Fee Summary'!A31,'FT Fee'!$A$22:$K$171,9,FALSE),"")</f>
        <v/>
      </c>
      <c r="AG73" s="301" t="str">
        <f t="shared" si="2"/>
        <v/>
      </c>
      <c r="AH73" s="457" t="str">
        <f t="array" ref="AH73">IF(IFERROR(INDEX($AM$11:$AM$177, MATCH(0,COUNTIF($AH$10:AH72,$AM$11:$AM$177), 0)),"")=0,"",IFERROR(INDEX($AM$11:$AM$177, MATCH(0,COUNTIF($AH$10:AH72,$AM$11:$AM$177), 0)),""))</f>
        <v/>
      </c>
      <c r="AI73" s="301" t="str">
        <f t="shared" si="3"/>
        <v/>
      </c>
      <c r="AK73" s="469" t="str">
        <f>IF('FT Fee (Franchise)'!C81="","",MAX(AK$10:AK72)+1)</f>
        <v/>
      </c>
      <c r="AL73" s="470" t="str">
        <f>IF(AND('FT Fee (Franchise)'!C81="",'FT Fee (Franchise)'!I81=""),"",'FT Fee (Franchise)'!C81)</f>
        <v/>
      </c>
      <c r="AM73" s="471" t="str">
        <f t="shared" si="9"/>
        <v/>
      </c>
    </row>
    <row r="74" spans="1:39" ht="18.75" x14ac:dyDescent="0.25">
      <c r="A74" s="70">
        <v>61</v>
      </c>
      <c r="B74" s="477" t="str">
        <f t="shared" si="11"/>
        <v/>
      </c>
      <c r="C74" s="478" t="str">
        <f t="shared" si="6"/>
        <v/>
      </c>
      <c r="D74" s="479" t="str">
        <f t="shared" si="5"/>
        <v/>
      </c>
      <c r="E74" s="413">
        <v>3</v>
      </c>
      <c r="F74" s="414">
        <v>61</v>
      </c>
      <c r="K74" s="301" t="str">
        <f>IF(ISERROR(RANK(L74,$L$23:$L$473,1)+COUNTIF($L$23:L74,L74)-1)=TRUE,"",RANK(L74,$L$23:$L$473,1)+COUNTIF($L$23:L74,L74)-1)</f>
        <v/>
      </c>
      <c r="L74" s="301" t="str">
        <f t="shared" si="12"/>
        <v/>
      </c>
      <c r="M74" s="301" t="str">
        <f>IF(AND('FT Fee'!H40="Yes"),VLOOKUP('Fee Summary'!A32,'FT Fee'!$A$22:$K$171,2,FALSE),"")</f>
        <v/>
      </c>
      <c r="N74" s="301" t="str">
        <f>IF(AND('FT Fee'!H40="Yes"),VLOOKUP('Fee Summary'!A32,'FT Fee'!$A$22:$K$171,3,FALSE),"")</f>
        <v/>
      </c>
      <c r="O74" s="301" t="str">
        <f>IF(AND('FT Fee'!H40="Yes"),VLOOKUP('Fee Summary'!A32,'FT Fee'!$A$22:$K$171,9,FALSE),"")</f>
        <v/>
      </c>
      <c r="AG74" s="301" t="str">
        <f t="shared" si="2"/>
        <v/>
      </c>
      <c r="AH74" s="457" t="str">
        <f t="array" ref="AH74">IF(IFERROR(INDEX($AM$11:$AM$177, MATCH(0,COUNTIF($AH$10:AH73,$AM$11:$AM$177), 0)),"")=0,"",IFERROR(INDEX($AM$11:$AM$177, MATCH(0,COUNTIF($AH$10:AH73,$AM$11:$AM$177), 0)),""))</f>
        <v/>
      </c>
      <c r="AI74" s="301" t="str">
        <f t="shared" si="3"/>
        <v/>
      </c>
      <c r="AK74" s="469" t="str">
        <f>IF('FT Fee (Franchise)'!C82="","",MAX(AK$10:AK73)+1)</f>
        <v/>
      </c>
      <c r="AL74" s="470" t="str">
        <f>IF(AND('FT Fee (Franchise)'!C82="",'FT Fee (Franchise)'!I82=""),"",'FT Fee (Franchise)'!C82)</f>
        <v/>
      </c>
      <c r="AM74" s="471" t="str">
        <f t="shared" si="9"/>
        <v/>
      </c>
    </row>
    <row r="75" spans="1:39" ht="18.75" x14ac:dyDescent="0.25">
      <c r="A75" s="71">
        <v>62</v>
      </c>
      <c r="B75" s="477" t="str">
        <f t="shared" si="11"/>
        <v/>
      </c>
      <c r="C75" s="478" t="str">
        <f t="shared" si="6"/>
        <v/>
      </c>
      <c r="D75" s="479" t="str">
        <f t="shared" si="5"/>
        <v/>
      </c>
      <c r="E75" s="413">
        <v>3</v>
      </c>
      <c r="F75" s="414">
        <v>62</v>
      </c>
      <c r="K75" s="301" t="str">
        <f>IF(ISERROR(RANK(L75,$L$23:$L$473,1)+COUNTIF($L$23:L75,L75)-1)=TRUE,"",RANK(L75,$L$23:$L$473,1)+COUNTIF($L$23:L75,L75)-1)</f>
        <v/>
      </c>
      <c r="L75" s="301" t="str">
        <f t="shared" si="12"/>
        <v/>
      </c>
      <c r="M75" s="301" t="str">
        <f>IF(AND('FT Fee'!H41="Yes"),VLOOKUP('Fee Summary'!A33,'FT Fee'!$A$22:$K$171,2,FALSE),"")</f>
        <v/>
      </c>
      <c r="N75" s="301" t="str">
        <f>IF(AND('FT Fee'!H41="Yes"),VLOOKUP('Fee Summary'!A33,'FT Fee'!$A$22:$K$171,3,FALSE),"")</f>
        <v/>
      </c>
      <c r="O75" s="301" t="str">
        <f>IF(AND('FT Fee'!H41="Yes"),VLOOKUP('Fee Summary'!A33,'FT Fee'!$A$22:$K$171,9,FALSE),"")</f>
        <v/>
      </c>
      <c r="AG75" s="301" t="str">
        <f t="shared" si="2"/>
        <v/>
      </c>
      <c r="AH75" s="457" t="str">
        <f t="array" ref="AH75">IF(IFERROR(INDEX($AM$11:$AM$177, MATCH(0,COUNTIF($AH$10:AH74,$AM$11:$AM$177), 0)),"")=0,"",IFERROR(INDEX($AM$11:$AM$177, MATCH(0,COUNTIF($AH$10:AH74,$AM$11:$AM$177), 0)),""))</f>
        <v/>
      </c>
      <c r="AI75" s="301" t="str">
        <f t="shared" si="3"/>
        <v/>
      </c>
      <c r="AK75" s="469" t="str">
        <f>IF('FT Fee (Franchise)'!C83="","",MAX(AK$10:AK74)+1)</f>
        <v/>
      </c>
      <c r="AL75" s="470" t="str">
        <f>IF(AND('FT Fee (Franchise)'!C83="",'FT Fee (Franchise)'!I83=""),"",'FT Fee (Franchise)'!C83)</f>
        <v/>
      </c>
      <c r="AM75" s="471" t="str">
        <f t="shared" ref="AM75:AM106" si="13">IFERROR(INDEX($AL$11:$AL$177,MATCH(ROW()-ROW($AM$10),$AK$11:$AK$177,0)),"")</f>
        <v/>
      </c>
    </row>
    <row r="76" spans="1:39" ht="18.75" x14ac:dyDescent="0.25">
      <c r="A76" s="71">
        <v>63</v>
      </c>
      <c r="B76" s="477" t="str">
        <f t="shared" si="11"/>
        <v/>
      </c>
      <c r="C76" s="478" t="str">
        <f t="shared" si="6"/>
        <v/>
      </c>
      <c r="D76" s="479" t="str">
        <f t="shared" si="5"/>
        <v/>
      </c>
      <c r="E76" s="413">
        <v>3</v>
      </c>
      <c r="F76" s="414">
        <v>63</v>
      </c>
      <c r="K76" s="301" t="str">
        <f>IF(ISERROR(RANK(L76,$L$23:$L$473,1)+COUNTIF($L$23:L76,L76)-1)=TRUE,"",RANK(L76,$L$23:$L$473,1)+COUNTIF($L$23:L76,L76)-1)</f>
        <v/>
      </c>
      <c r="L76" s="301" t="str">
        <f t="shared" si="12"/>
        <v/>
      </c>
      <c r="M76" s="301" t="str">
        <f>IF(AND('FT Fee'!H42="Yes"),VLOOKUP('Fee Summary'!A34,'FT Fee'!$A$22:$K$171,2,FALSE),"")</f>
        <v/>
      </c>
      <c r="N76" s="301" t="str">
        <f>IF(AND('FT Fee'!H42="Yes"),VLOOKUP('Fee Summary'!A34,'FT Fee'!$A$22:$K$171,3,FALSE),"")</f>
        <v/>
      </c>
      <c r="O76" s="301" t="str">
        <f>IF(AND('FT Fee'!H42="Yes"),VLOOKUP('Fee Summary'!A34,'FT Fee'!$A$22:$K$171,9,FALSE),"")</f>
        <v/>
      </c>
      <c r="AG76" s="301" t="str">
        <f t="shared" ref="AG76:AG139" si="14">IF(AH76="","",AG75+1)</f>
        <v/>
      </c>
      <c r="AH76" s="457" t="str">
        <f t="array" ref="AH76">IF(IFERROR(INDEX($AM$11:$AM$177, MATCH(0,COUNTIF($AH$10:AH75,$AM$11:$AM$177), 0)),"")=0,"",IFERROR(INDEX($AM$11:$AM$177, MATCH(0,COUNTIF($AH$10:AH75,$AM$11:$AM$177), 0)),""))</f>
        <v/>
      </c>
      <c r="AI76" s="301" t="str">
        <f t="shared" ref="AI76:AI139" si="15">IF(AH76="","",AI75+1)</f>
        <v/>
      </c>
      <c r="AK76" s="469" t="str">
        <f>IF('FT Fee (Franchise)'!C84="","",MAX(AK$10:AK75)+1)</f>
        <v/>
      </c>
      <c r="AL76" s="470" t="str">
        <f>IF(AND('FT Fee (Franchise)'!C84="",'FT Fee (Franchise)'!I84=""),"",'FT Fee (Franchise)'!C84)</f>
        <v/>
      </c>
      <c r="AM76" s="471" t="str">
        <f t="shared" si="13"/>
        <v/>
      </c>
    </row>
    <row r="77" spans="1:39" ht="18.75" x14ac:dyDescent="0.25">
      <c r="A77" s="71">
        <v>64</v>
      </c>
      <c r="B77" s="477" t="str">
        <f t="shared" si="11"/>
        <v/>
      </c>
      <c r="C77" s="478" t="str">
        <f t="shared" si="6"/>
        <v/>
      </c>
      <c r="D77" s="479" t="str">
        <f t="shared" si="5"/>
        <v/>
      </c>
      <c r="E77" s="413">
        <v>3</v>
      </c>
      <c r="F77" s="414">
        <v>64</v>
      </c>
      <c r="K77" s="301" t="str">
        <f>IF(ISERROR(RANK(L77,$L$23:$L$473,1)+COUNTIF($L$23:L77,L77)-1)=TRUE,"",RANK(L77,$L$23:$L$473,1)+COUNTIF($L$23:L77,L77)-1)</f>
        <v/>
      </c>
      <c r="L77" s="301" t="str">
        <f t="shared" si="12"/>
        <v/>
      </c>
      <c r="M77" s="301" t="str">
        <f>IF(AND('FT Fee'!H43="Yes"),VLOOKUP('Fee Summary'!A35,'FT Fee'!$A$22:$K$171,2,FALSE),"")</f>
        <v/>
      </c>
      <c r="N77" s="301" t="str">
        <f>IF(AND('FT Fee'!H43="Yes"),VLOOKUP('Fee Summary'!A35,'FT Fee'!$A$22:$K$171,3,FALSE),"")</f>
        <v/>
      </c>
      <c r="O77" s="301" t="str">
        <f>IF(AND('FT Fee'!H43="Yes"),VLOOKUP('Fee Summary'!A35,'FT Fee'!$A$22:$K$171,9,FALSE),"")</f>
        <v/>
      </c>
      <c r="AG77" s="301" t="str">
        <f t="shared" si="14"/>
        <v/>
      </c>
      <c r="AH77" s="457" t="str">
        <f t="array" ref="AH77">IF(IFERROR(INDEX($AM$11:$AM$177, MATCH(0,COUNTIF($AH$10:AH76,$AM$11:$AM$177), 0)),"")=0,"",IFERROR(INDEX($AM$11:$AM$177, MATCH(0,COUNTIF($AH$10:AH76,$AM$11:$AM$177), 0)),""))</f>
        <v/>
      </c>
      <c r="AI77" s="301" t="str">
        <f t="shared" si="15"/>
        <v/>
      </c>
      <c r="AK77" s="469" t="str">
        <f>IF('FT Fee (Franchise)'!C85="","",MAX(AK$10:AK76)+1)</f>
        <v/>
      </c>
      <c r="AL77" s="470" t="str">
        <f>IF(AND('FT Fee (Franchise)'!C85="",'FT Fee (Franchise)'!I85=""),"",'FT Fee (Franchise)'!C85)</f>
        <v/>
      </c>
      <c r="AM77" s="471" t="str">
        <f t="shared" si="13"/>
        <v/>
      </c>
    </row>
    <row r="78" spans="1:39" ht="18.75" x14ac:dyDescent="0.25">
      <c r="A78" s="70">
        <v>65</v>
      </c>
      <c r="B78" s="477" t="str">
        <f t="shared" ref="B78:B141" si="16">IF(ISERROR(IF(VLOOKUP(A78,$K$23:$O$473,3,FALSE)=0,"No course type selected on the FEE sheet.",VLOOKUP(A78,$K$23:$O$473,3,FALSE)))=TRUE,"",IF(VLOOKUP(A78,$K$23:$O$473,3,FALSE)=0,"No course type selected on the FEE sheet.",VLOOKUP(A78,$K$23:$O$473,3,FALSE)))</f>
        <v/>
      </c>
      <c r="C78" s="478" t="str">
        <f t="shared" si="6"/>
        <v/>
      </c>
      <c r="D78" s="479" t="str">
        <f t="shared" ref="D78:D141" si="17">IF(ISERROR(VLOOKUP(A78,$K$23:$O$473,5,FALSE))=TRUE,"",VLOOKUP(A78,$K$23:$O$473,5,FALSE))</f>
        <v/>
      </c>
      <c r="E78" s="413">
        <v>3</v>
      </c>
      <c r="F78" s="414">
        <v>65</v>
      </c>
      <c r="K78" s="301" t="str">
        <f>IF(ISERROR(RANK(L78,$L$23:$L$473,1)+COUNTIF($L$23:L78,L78)-1)=TRUE,"",RANK(L78,$L$23:$L$473,1)+COUNTIF($L$23:L78,L78)-1)</f>
        <v/>
      </c>
      <c r="L78" s="301" t="str">
        <f t="shared" si="12"/>
        <v/>
      </c>
      <c r="M78" s="301" t="str">
        <f>IF(AND('FT Fee'!H44="Yes"),VLOOKUP('Fee Summary'!A36,'FT Fee'!$A$22:$K$171,2,FALSE),"")</f>
        <v/>
      </c>
      <c r="N78" s="301" t="str">
        <f>IF(AND('FT Fee'!H44="Yes"),VLOOKUP('Fee Summary'!A36,'FT Fee'!$A$22:$K$171,3,FALSE),"")</f>
        <v/>
      </c>
      <c r="O78" s="301" t="str">
        <f>IF(AND('FT Fee'!H44="Yes"),VLOOKUP('Fee Summary'!A36,'FT Fee'!$A$22:$K$171,9,FALSE),"")</f>
        <v/>
      </c>
      <c r="AG78" s="301" t="str">
        <f t="shared" si="14"/>
        <v/>
      </c>
      <c r="AH78" s="457" t="str">
        <f t="array" ref="AH78">IF(IFERROR(INDEX($AM$11:$AM$177, MATCH(0,COUNTIF($AH$10:AH77,$AM$11:$AM$177), 0)),"")=0,"",IFERROR(INDEX($AM$11:$AM$177, MATCH(0,COUNTIF($AH$10:AH77,$AM$11:$AM$177), 0)),""))</f>
        <v/>
      </c>
      <c r="AI78" s="301" t="str">
        <f t="shared" si="15"/>
        <v/>
      </c>
      <c r="AK78" s="469" t="str">
        <f>IF('FT Fee (Franchise)'!C86="","",MAX(AK$10:AK77)+1)</f>
        <v/>
      </c>
      <c r="AL78" s="470" t="str">
        <f>IF(AND('FT Fee (Franchise)'!C86="",'FT Fee (Franchise)'!I86=""),"",'FT Fee (Franchise)'!C86)</f>
        <v/>
      </c>
      <c r="AM78" s="471" t="str">
        <f t="shared" si="13"/>
        <v/>
      </c>
    </row>
    <row r="79" spans="1:39" ht="18.75" x14ac:dyDescent="0.25">
      <c r="A79" s="71">
        <v>66</v>
      </c>
      <c r="B79" s="477" t="str">
        <f t="shared" si="16"/>
        <v/>
      </c>
      <c r="C79" s="478" t="str">
        <f t="shared" ref="C79:C142" si="18">IF(ISERROR(IF(VLOOKUP(A79,$K$23:$O$473,4,FALSE)=0,"",VLOOKUP(A79,$K$23:$O$473,4,FALSE)))=TRUE,"",IF(VLOOKUP(A79,$K$23:$O$473,4,FALSE)=0,"",VLOOKUP(A79,$K$23:$O$473,4,FALSE)))</f>
        <v/>
      </c>
      <c r="D79" s="479" t="str">
        <f t="shared" si="17"/>
        <v/>
      </c>
      <c r="E79" s="413">
        <v>3</v>
      </c>
      <c r="F79" s="414">
        <v>66</v>
      </c>
      <c r="K79" s="301" t="str">
        <f>IF(ISERROR(RANK(L79,$L$23:$L$473,1)+COUNTIF($L$23:L79,L79)-1)=TRUE,"",RANK(L79,$L$23:$L$473,1)+COUNTIF($L$23:L79,L79)-1)</f>
        <v/>
      </c>
      <c r="L79" s="301" t="str">
        <f t="shared" si="12"/>
        <v/>
      </c>
      <c r="M79" s="301" t="str">
        <f>IF(AND('FT Fee'!H45="Yes"),VLOOKUP('Fee Summary'!A37,'FT Fee'!$A$22:$K$171,2,FALSE),"")</f>
        <v/>
      </c>
      <c r="N79" s="301" t="str">
        <f>IF(AND('FT Fee'!H45="Yes"),VLOOKUP('Fee Summary'!A37,'FT Fee'!$A$22:$K$171,3,FALSE),"")</f>
        <v/>
      </c>
      <c r="O79" s="301" t="str">
        <f>IF(AND('FT Fee'!H45="Yes"),VLOOKUP('Fee Summary'!A37,'FT Fee'!$A$22:$K$171,9,FALSE),"")</f>
        <v/>
      </c>
      <c r="AG79" s="301" t="str">
        <f t="shared" si="14"/>
        <v/>
      </c>
      <c r="AH79" s="457" t="str">
        <f t="array" ref="AH79">IF(IFERROR(INDEX($AM$11:$AM$177, MATCH(0,COUNTIF($AH$10:AH78,$AM$11:$AM$177), 0)),"")=0,"",IFERROR(INDEX($AM$11:$AM$177, MATCH(0,COUNTIF($AH$10:AH78,$AM$11:$AM$177), 0)),""))</f>
        <v/>
      </c>
      <c r="AI79" s="301" t="str">
        <f t="shared" si="15"/>
        <v/>
      </c>
      <c r="AK79" s="469" t="str">
        <f>IF('FT Fee (Franchise)'!C87="","",MAX(AK$10:AK78)+1)</f>
        <v/>
      </c>
      <c r="AL79" s="470" t="str">
        <f>IF(AND('FT Fee (Franchise)'!C87="",'FT Fee (Franchise)'!I87=""),"",'FT Fee (Franchise)'!C87)</f>
        <v/>
      </c>
      <c r="AM79" s="471" t="str">
        <f t="shared" si="13"/>
        <v/>
      </c>
    </row>
    <row r="80" spans="1:39" ht="18.75" x14ac:dyDescent="0.25">
      <c r="A80" s="71">
        <v>67</v>
      </c>
      <c r="B80" s="477" t="str">
        <f t="shared" si="16"/>
        <v/>
      </c>
      <c r="C80" s="478" t="str">
        <f t="shared" si="18"/>
        <v/>
      </c>
      <c r="D80" s="479" t="str">
        <f t="shared" si="17"/>
        <v/>
      </c>
      <c r="E80" s="413">
        <v>3</v>
      </c>
      <c r="F80" s="414">
        <v>67</v>
      </c>
      <c r="K80" s="301" t="str">
        <f>IF(ISERROR(RANK(L80,$L$23:$L$473,1)+COUNTIF($L$23:L80,L80)-1)=TRUE,"",RANK(L80,$L$23:$L$473,1)+COUNTIF($L$23:L80,L80)-1)</f>
        <v/>
      </c>
      <c r="L80" s="301" t="str">
        <f t="shared" si="12"/>
        <v/>
      </c>
      <c r="M80" s="301" t="str">
        <f>IF(AND('FT Fee'!H46="Yes"),VLOOKUP('Fee Summary'!A38,'FT Fee'!$A$22:$K$171,2,FALSE),"")</f>
        <v/>
      </c>
      <c r="N80" s="301" t="str">
        <f>IF(AND('FT Fee'!H46="Yes"),VLOOKUP('Fee Summary'!A38,'FT Fee'!$A$22:$K$171,3,FALSE),"")</f>
        <v/>
      </c>
      <c r="O80" s="301" t="str">
        <f>IF(AND('FT Fee'!H46="Yes"),VLOOKUP('Fee Summary'!A38,'FT Fee'!$A$22:$K$171,9,FALSE),"")</f>
        <v/>
      </c>
      <c r="AG80" s="301" t="str">
        <f t="shared" si="14"/>
        <v/>
      </c>
      <c r="AH80" s="457" t="str">
        <f t="array" ref="AH80">IF(IFERROR(INDEX($AM$11:$AM$177, MATCH(0,COUNTIF($AH$10:AH79,$AM$11:$AM$177), 0)),"")=0,"",IFERROR(INDEX($AM$11:$AM$177, MATCH(0,COUNTIF($AH$10:AH79,$AM$11:$AM$177), 0)),""))</f>
        <v/>
      </c>
      <c r="AI80" s="301" t="str">
        <f t="shared" si="15"/>
        <v/>
      </c>
      <c r="AK80" s="469" t="str">
        <f>IF('FT Fee (Franchise)'!C88="","",MAX(AK$10:AK79)+1)</f>
        <v/>
      </c>
      <c r="AL80" s="470" t="str">
        <f>IF(AND('FT Fee (Franchise)'!C88="",'FT Fee (Franchise)'!I88=""),"",'FT Fee (Franchise)'!C88)</f>
        <v/>
      </c>
      <c r="AM80" s="471" t="str">
        <f t="shared" si="13"/>
        <v/>
      </c>
    </row>
    <row r="81" spans="1:39" ht="18.75" x14ac:dyDescent="0.25">
      <c r="A81" s="71">
        <v>68</v>
      </c>
      <c r="B81" s="477" t="str">
        <f t="shared" si="16"/>
        <v/>
      </c>
      <c r="C81" s="478" t="str">
        <f t="shared" si="18"/>
        <v/>
      </c>
      <c r="D81" s="479" t="str">
        <f t="shared" si="17"/>
        <v/>
      </c>
      <c r="E81" s="413">
        <v>3</v>
      </c>
      <c r="F81" s="414">
        <v>68</v>
      </c>
      <c r="K81" s="301" t="str">
        <f>IF(ISERROR(RANK(L81,$L$23:$L$473,1)+COUNTIF($L$23:L81,L81)-1)=TRUE,"",RANK(L81,$L$23:$L$473,1)+COUNTIF($L$23:L81,L81)-1)</f>
        <v/>
      </c>
      <c r="L81" s="301" t="str">
        <f t="shared" si="12"/>
        <v/>
      </c>
      <c r="M81" s="301" t="str">
        <f>IF(AND('FT Fee'!H47="Yes"),VLOOKUP('Fee Summary'!A39,'FT Fee'!$A$22:$K$171,2,FALSE),"")</f>
        <v/>
      </c>
      <c r="N81" s="301" t="str">
        <f>IF(AND('FT Fee'!H47="Yes"),VLOOKUP('Fee Summary'!A39,'FT Fee'!$A$22:$K$171,3,FALSE),"")</f>
        <v/>
      </c>
      <c r="O81" s="301" t="str">
        <f>IF(AND('FT Fee'!H47="Yes"),VLOOKUP('Fee Summary'!A39,'FT Fee'!$A$22:$K$171,9,FALSE),"")</f>
        <v/>
      </c>
      <c r="AG81" s="301" t="str">
        <f t="shared" si="14"/>
        <v/>
      </c>
      <c r="AH81" s="457" t="str">
        <f t="array" ref="AH81">IF(IFERROR(INDEX($AM$11:$AM$177, MATCH(0,COUNTIF($AH$10:AH80,$AM$11:$AM$177), 0)),"")=0,"",IFERROR(INDEX($AM$11:$AM$177, MATCH(0,COUNTIF($AH$10:AH80,$AM$11:$AM$177), 0)),""))</f>
        <v/>
      </c>
      <c r="AI81" s="301" t="str">
        <f t="shared" si="15"/>
        <v/>
      </c>
      <c r="AK81" s="469" t="str">
        <f>IF('FT Fee (Franchise)'!C89="","",MAX(AK$10:AK80)+1)</f>
        <v/>
      </c>
      <c r="AL81" s="470" t="str">
        <f>IF(AND('FT Fee (Franchise)'!C89="",'FT Fee (Franchise)'!I89=""),"",'FT Fee (Franchise)'!C89)</f>
        <v/>
      </c>
      <c r="AM81" s="471" t="str">
        <f t="shared" si="13"/>
        <v/>
      </c>
    </row>
    <row r="82" spans="1:39" ht="18.75" x14ac:dyDescent="0.25">
      <c r="A82" s="70">
        <v>69</v>
      </c>
      <c r="B82" s="477" t="str">
        <f t="shared" si="16"/>
        <v/>
      </c>
      <c r="C82" s="478" t="str">
        <f t="shared" si="18"/>
        <v/>
      </c>
      <c r="D82" s="479" t="str">
        <f t="shared" si="17"/>
        <v/>
      </c>
      <c r="E82" s="413">
        <v>3</v>
      </c>
      <c r="F82" s="414">
        <v>69</v>
      </c>
      <c r="K82" s="301" t="str">
        <f>IF(ISERROR(RANK(L82,$L$23:$L$473,1)+COUNTIF($L$23:L82,L82)-1)=TRUE,"",RANK(L82,$L$23:$L$473,1)+COUNTIF($L$23:L82,L82)-1)</f>
        <v/>
      </c>
      <c r="L82" s="301" t="str">
        <f t="shared" si="12"/>
        <v/>
      </c>
      <c r="M82" s="301" t="str">
        <f>IF(AND('FT Fee'!H48="Yes"),VLOOKUP('Fee Summary'!A40,'FT Fee'!$A$22:$K$171,2,FALSE),"")</f>
        <v/>
      </c>
      <c r="N82" s="301" t="str">
        <f>IF(AND('FT Fee'!H48="Yes"),VLOOKUP('Fee Summary'!A40,'FT Fee'!$A$22:$K$171,3,FALSE),"")</f>
        <v/>
      </c>
      <c r="O82" s="301" t="str">
        <f>IF(AND('FT Fee'!H48="Yes"),VLOOKUP('Fee Summary'!A40,'FT Fee'!$A$22:$K$171,9,FALSE),"")</f>
        <v/>
      </c>
      <c r="AG82" s="301" t="str">
        <f t="shared" si="14"/>
        <v/>
      </c>
      <c r="AH82" s="457" t="str">
        <f t="array" ref="AH82">IF(IFERROR(INDEX($AM$11:$AM$177, MATCH(0,COUNTIF($AH$10:AH81,$AM$11:$AM$177), 0)),"")=0,"",IFERROR(INDEX($AM$11:$AM$177, MATCH(0,COUNTIF($AH$10:AH81,$AM$11:$AM$177), 0)),""))</f>
        <v/>
      </c>
      <c r="AI82" s="301" t="str">
        <f t="shared" si="15"/>
        <v/>
      </c>
      <c r="AK82" s="469" t="str">
        <f>IF('FT Fee (Franchise)'!C90="","",MAX(AK$10:AK81)+1)</f>
        <v/>
      </c>
      <c r="AL82" s="470" t="str">
        <f>IF(AND('FT Fee (Franchise)'!C90="",'FT Fee (Franchise)'!I90=""),"",'FT Fee (Franchise)'!C90)</f>
        <v/>
      </c>
      <c r="AM82" s="471" t="str">
        <f t="shared" si="13"/>
        <v/>
      </c>
    </row>
    <row r="83" spans="1:39" ht="18.75" x14ac:dyDescent="0.25">
      <c r="A83" s="71">
        <v>70</v>
      </c>
      <c r="B83" s="477" t="str">
        <f t="shared" si="16"/>
        <v/>
      </c>
      <c r="C83" s="478" t="str">
        <f t="shared" si="18"/>
        <v/>
      </c>
      <c r="D83" s="479" t="str">
        <f t="shared" si="17"/>
        <v/>
      </c>
      <c r="E83" s="413">
        <v>3</v>
      </c>
      <c r="F83" s="414">
        <v>70</v>
      </c>
      <c r="K83" s="301" t="str">
        <f>IF(ISERROR(RANK(L83,$L$23:$L$473,1)+COUNTIF($L$23:L83,L83)-1)=TRUE,"",RANK(L83,$L$23:$L$473,1)+COUNTIF($L$23:L83,L83)-1)</f>
        <v/>
      </c>
      <c r="L83" s="301" t="str">
        <f t="shared" si="12"/>
        <v/>
      </c>
      <c r="M83" s="301" t="str">
        <f>IF(AND('FT Fee'!H49="Yes"),VLOOKUP('Fee Summary'!A41,'FT Fee'!$A$22:$K$171,2,FALSE),"")</f>
        <v/>
      </c>
      <c r="N83" s="301" t="str">
        <f>IF(AND('FT Fee'!H49="Yes"),VLOOKUP('Fee Summary'!A41,'FT Fee'!$A$22:$K$171,3,FALSE),"")</f>
        <v/>
      </c>
      <c r="O83" s="301" t="str">
        <f>IF(AND('FT Fee'!H49="Yes"),VLOOKUP('Fee Summary'!A41,'FT Fee'!$A$22:$K$171,9,FALSE),"")</f>
        <v/>
      </c>
      <c r="AG83" s="301" t="str">
        <f t="shared" si="14"/>
        <v/>
      </c>
      <c r="AH83" s="457" t="str">
        <f t="array" ref="AH83">IF(IFERROR(INDEX($AM$11:$AM$177, MATCH(0,COUNTIF($AH$10:AH82,$AM$11:$AM$177), 0)),"")=0,"",IFERROR(INDEX($AM$11:$AM$177, MATCH(0,COUNTIF($AH$10:AH82,$AM$11:$AM$177), 0)),""))</f>
        <v/>
      </c>
      <c r="AI83" s="301" t="str">
        <f t="shared" si="15"/>
        <v/>
      </c>
      <c r="AK83" s="469" t="str">
        <f>IF('FT Fee (Franchise)'!C91="","",MAX(AK$10:AK82)+1)</f>
        <v/>
      </c>
      <c r="AL83" s="470" t="str">
        <f>IF(AND('FT Fee (Franchise)'!C91="",'FT Fee (Franchise)'!I91=""),"",'FT Fee (Franchise)'!C91)</f>
        <v/>
      </c>
      <c r="AM83" s="471" t="str">
        <f t="shared" si="13"/>
        <v/>
      </c>
    </row>
    <row r="84" spans="1:39" ht="18.75" x14ac:dyDescent="0.25">
      <c r="A84" s="71">
        <v>71</v>
      </c>
      <c r="B84" s="477" t="str">
        <f t="shared" si="16"/>
        <v/>
      </c>
      <c r="C84" s="478" t="str">
        <f t="shared" si="18"/>
        <v/>
      </c>
      <c r="D84" s="479" t="str">
        <f t="shared" si="17"/>
        <v/>
      </c>
      <c r="E84" s="413">
        <v>3</v>
      </c>
      <c r="F84" s="414">
        <v>71</v>
      </c>
      <c r="K84" s="301" t="str">
        <f>IF(ISERROR(RANK(L84,$L$23:$L$473,1)+COUNTIF($L$23:L84,L84)-1)=TRUE,"",RANK(L84,$L$23:$L$473,1)+COUNTIF($L$23:L84,L84)-1)</f>
        <v/>
      </c>
      <c r="L84" s="301" t="str">
        <f t="shared" si="12"/>
        <v/>
      </c>
      <c r="M84" s="301" t="str">
        <f>IF(AND('FT Fee'!H50="Yes"),VLOOKUP('Fee Summary'!A42,'FT Fee'!$A$22:$K$171,2,FALSE),"")</f>
        <v/>
      </c>
      <c r="N84" s="301" t="str">
        <f>IF(AND('FT Fee'!H50="Yes"),VLOOKUP('Fee Summary'!A42,'FT Fee'!$A$22:$K$171,3,FALSE),"")</f>
        <v/>
      </c>
      <c r="O84" s="301" t="str">
        <f>IF(AND('FT Fee'!H50="Yes"),VLOOKUP('Fee Summary'!A42,'FT Fee'!$A$22:$K$171,9,FALSE),"")</f>
        <v/>
      </c>
      <c r="AG84" s="301" t="str">
        <f t="shared" si="14"/>
        <v/>
      </c>
      <c r="AH84" s="457" t="str">
        <f t="array" ref="AH84">IF(IFERROR(INDEX($AM$11:$AM$177, MATCH(0,COUNTIF($AH$10:AH83,$AM$11:$AM$177), 0)),"")=0,"",IFERROR(INDEX($AM$11:$AM$177, MATCH(0,COUNTIF($AH$10:AH83,$AM$11:$AM$177), 0)),""))</f>
        <v/>
      </c>
      <c r="AI84" s="301" t="str">
        <f t="shared" si="15"/>
        <v/>
      </c>
      <c r="AK84" s="469" t="str">
        <f>IF('FT Fee (Franchise)'!C92="","",MAX(AK$10:AK83)+1)</f>
        <v/>
      </c>
      <c r="AL84" s="470" t="str">
        <f>IF(AND('FT Fee (Franchise)'!C92="",'FT Fee (Franchise)'!I92=""),"",'FT Fee (Franchise)'!C92)</f>
        <v/>
      </c>
      <c r="AM84" s="471" t="str">
        <f t="shared" si="13"/>
        <v/>
      </c>
    </row>
    <row r="85" spans="1:39" ht="18.75" x14ac:dyDescent="0.25">
      <c r="A85" s="71">
        <v>72</v>
      </c>
      <c r="B85" s="477" t="str">
        <f t="shared" si="16"/>
        <v/>
      </c>
      <c r="C85" s="478" t="str">
        <f t="shared" si="18"/>
        <v/>
      </c>
      <c r="D85" s="479" t="str">
        <f t="shared" si="17"/>
        <v/>
      </c>
      <c r="E85" s="413">
        <v>3</v>
      </c>
      <c r="F85" s="414">
        <v>72</v>
      </c>
      <c r="K85" s="301" t="str">
        <f>IF(ISERROR(RANK(L85,$L$23:$L$473,1)+COUNTIF($L$23:L85,L85)-1)=TRUE,"",RANK(L85,$L$23:$L$473,1)+COUNTIF($L$23:L85,L85)-1)</f>
        <v/>
      </c>
      <c r="L85" s="301" t="str">
        <f t="shared" si="12"/>
        <v/>
      </c>
      <c r="M85" s="301" t="str">
        <f>IF(AND('FT Fee'!H51="Yes"),VLOOKUP('Fee Summary'!A43,'FT Fee'!$A$22:$K$171,2,FALSE),"")</f>
        <v/>
      </c>
      <c r="N85" s="301" t="str">
        <f>IF(AND('FT Fee'!H51="Yes"),VLOOKUP('Fee Summary'!A43,'FT Fee'!$A$22:$K$171,3,FALSE),"")</f>
        <v/>
      </c>
      <c r="O85" s="301" t="str">
        <f>IF(AND('FT Fee'!H51="Yes"),VLOOKUP('Fee Summary'!A43,'FT Fee'!$A$22:$K$171,9,FALSE),"")</f>
        <v/>
      </c>
      <c r="AG85" s="301" t="str">
        <f t="shared" si="14"/>
        <v/>
      </c>
      <c r="AH85" s="457" t="str">
        <f t="array" ref="AH85">IF(IFERROR(INDEX($AM$11:$AM$177, MATCH(0,COUNTIF($AH$10:AH84,$AM$11:$AM$177), 0)),"")=0,"",IFERROR(INDEX($AM$11:$AM$177, MATCH(0,COUNTIF($AH$10:AH84,$AM$11:$AM$177), 0)),""))</f>
        <v/>
      </c>
      <c r="AI85" s="301" t="str">
        <f t="shared" si="15"/>
        <v/>
      </c>
      <c r="AK85" s="469" t="str">
        <f>IF('FT Fee (Franchise)'!C93="","",MAX(AK$10:AK84)+1)</f>
        <v/>
      </c>
      <c r="AL85" s="470" t="str">
        <f>IF(AND('FT Fee (Franchise)'!C93="",'FT Fee (Franchise)'!I93=""),"",'FT Fee (Franchise)'!C93)</f>
        <v/>
      </c>
      <c r="AM85" s="471" t="str">
        <f t="shared" si="13"/>
        <v/>
      </c>
    </row>
    <row r="86" spans="1:39" ht="18.75" x14ac:dyDescent="0.25">
      <c r="A86" s="70">
        <v>73</v>
      </c>
      <c r="B86" s="477" t="str">
        <f t="shared" si="16"/>
        <v/>
      </c>
      <c r="C86" s="478" t="str">
        <f t="shared" si="18"/>
        <v/>
      </c>
      <c r="D86" s="479" t="str">
        <f t="shared" si="17"/>
        <v/>
      </c>
      <c r="E86" s="413">
        <v>3</v>
      </c>
      <c r="F86" s="414">
        <v>73</v>
      </c>
      <c r="K86" s="301" t="str">
        <f>IF(ISERROR(RANK(L86,$L$23:$L$473,1)+COUNTIF($L$23:L86,L86)-1)=TRUE,"",RANK(L86,$L$23:$L$473,1)+COUNTIF($L$23:L86,L86)-1)</f>
        <v/>
      </c>
      <c r="L86" s="301" t="str">
        <f t="shared" si="12"/>
        <v/>
      </c>
      <c r="M86" s="301" t="str">
        <f>IF(AND('FT Fee'!H52="Yes"),VLOOKUP('Fee Summary'!A44,'FT Fee'!$A$22:$K$171,2,FALSE),"")</f>
        <v/>
      </c>
      <c r="N86" s="301" t="str">
        <f>IF(AND('FT Fee'!H52="Yes"),VLOOKUP('Fee Summary'!A44,'FT Fee'!$A$22:$K$171,3,FALSE),"")</f>
        <v/>
      </c>
      <c r="O86" s="301" t="str">
        <f>IF(AND('FT Fee'!H52="Yes"),VLOOKUP('Fee Summary'!A44,'FT Fee'!$A$22:$K$171,9,FALSE),"")</f>
        <v/>
      </c>
      <c r="AG86" s="301" t="str">
        <f t="shared" si="14"/>
        <v/>
      </c>
      <c r="AH86" s="457" t="str">
        <f t="array" ref="AH86">IF(IFERROR(INDEX($AM$11:$AM$177, MATCH(0,COUNTIF($AH$10:AH85,$AM$11:$AM$177), 0)),"")=0,"",IFERROR(INDEX($AM$11:$AM$177, MATCH(0,COUNTIF($AH$10:AH85,$AM$11:$AM$177), 0)),""))</f>
        <v/>
      </c>
      <c r="AI86" s="301" t="str">
        <f t="shared" si="15"/>
        <v/>
      </c>
      <c r="AK86" s="469" t="str">
        <f>IF('FT Fee (Franchise)'!C94="","",MAX(AK$10:AK85)+1)</f>
        <v/>
      </c>
      <c r="AL86" s="470" t="str">
        <f>IF(AND('FT Fee (Franchise)'!C94="",'FT Fee (Franchise)'!I94=""),"",'FT Fee (Franchise)'!C94)</f>
        <v/>
      </c>
      <c r="AM86" s="471" t="str">
        <f t="shared" si="13"/>
        <v/>
      </c>
    </row>
    <row r="87" spans="1:39" ht="18.75" x14ac:dyDescent="0.25">
      <c r="A87" s="71">
        <v>74</v>
      </c>
      <c r="B87" s="477" t="str">
        <f t="shared" si="16"/>
        <v/>
      </c>
      <c r="C87" s="478" t="str">
        <f t="shared" si="18"/>
        <v/>
      </c>
      <c r="D87" s="479" t="str">
        <f t="shared" si="17"/>
        <v/>
      </c>
      <c r="E87" s="413">
        <v>3</v>
      </c>
      <c r="F87" s="414">
        <v>74</v>
      </c>
      <c r="K87" s="301" t="str">
        <f>IF(ISERROR(RANK(L87,$L$23:$L$473,1)+COUNTIF($L$23:L87,L87)-1)=TRUE,"",RANK(L87,$L$23:$L$473,1)+COUNTIF($L$23:L87,L87)-1)</f>
        <v/>
      </c>
      <c r="L87" s="301" t="str">
        <f t="shared" si="12"/>
        <v/>
      </c>
      <c r="M87" s="301" t="str">
        <f>IF(AND('FT Fee'!H53="Yes"),VLOOKUP('Fee Summary'!A45,'FT Fee'!$A$22:$K$171,2,FALSE),"")</f>
        <v/>
      </c>
      <c r="N87" s="301" t="str">
        <f>IF(AND('FT Fee'!H53="Yes"),VLOOKUP('Fee Summary'!A45,'FT Fee'!$A$22:$K$171,3,FALSE),"")</f>
        <v/>
      </c>
      <c r="O87" s="301" t="str">
        <f>IF(AND('FT Fee'!H53="Yes"),VLOOKUP('Fee Summary'!A45,'FT Fee'!$A$22:$K$171,9,FALSE),"")</f>
        <v/>
      </c>
      <c r="AG87" s="301" t="str">
        <f t="shared" si="14"/>
        <v/>
      </c>
      <c r="AH87" s="457" t="str">
        <f t="array" ref="AH87">IF(IFERROR(INDEX($AM$11:$AM$177, MATCH(0,COUNTIF($AH$10:AH86,$AM$11:$AM$177), 0)),"")=0,"",IFERROR(INDEX($AM$11:$AM$177, MATCH(0,COUNTIF($AH$10:AH86,$AM$11:$AM$177), 0)),""))</f>
        <v/>
      </c>
      <c r="AI87" s="301" t="str">
        <f t="shared" si="15"/>
        <v/>
      </c>
      <c r="AK87" s="469" t="str">
        <f>IF('FT Fee (Franchise)'!C95="","",MAX(AK$10:AK86)+1)</f>
        <v/>
      </c>
      <c r="AL87" s="470" t="str">
        <f>IF(AND('FT Fee (Franchise)'!C95="",'FT Fee (Franchise)'!I95=""),"",'FT Fee (Franchise)'!C95)</f>
        <v/>
      </c>
      <c r="AM87" s="471" t="str">
        <f t="shared" si="13"/>
        <v/>
      </c>
    </row>
    <row r="88" spans="1:39" ht="18.75" x14ac:dyDescent="0.25">
      <c r="A88" s="71">
        <v>75</v>
      </c>
      <c r="B88" s="477" t="str">
        <f t="shared" si="16"/>
        <v/>
      </c>
      <c r="C88" s="478" t="str">
        <f t="shared" si="18"/>
        <v/>
      </c>
      <c r="D88" s="479" t="str">
        <f t="shared" si="17"/>
        <v/>
      </c>
      <c r="E88" s="413">
        <v>3</v>
      </c>
      <c r="F88" s="414">
        <v>75</v>
      </c>
      <c r="K88" s="301" t="str">
        <f>IF(ISERROR(RANK(L88,$L$23:$L$473,1)+COUNTIF($L$23:L88,L88)-1)=TRUE,"",RANK(L88,$L$23:$L$473,1)+COUNTIF($L$23:L88,L88)-1)</f>
        <v/>
      </c>
      <c r="L88" s="301" t="str">
        <f t="shared" ref="L88:L119" si="19">IF(ISERROR(VLOOKUP(M88,$M$11:$M$20,1,FALSE))=TRUE,"",VLOOKUP(M88,$M$11:$P$20,3,FALSE))</f>
        <v/>
      </c>
      <c r="M88" s="301" t="str">
        <f>IF(AND('FT Fee'!H54="Yes"),VLOOKUP('Fee Summary'!A46,'FT Fee'!$A$22:$K$171,2,FALSE),"")</f>
        <v/>
      </c>
      <c r="N88" s="301" t="str">
        <f>IF(AND('FT Fee'!H54="Yes"),VLOOKUP('Fee Summary'!A46,'FT Fee'!$A$22:$K$171,3,FALSE),"")</f>
        <v/>
      </c>
      <c r="O88" s="301" t="str">
        <f>IF(AND('FT Fee'!H54="Yes"),VLOOKUP('Fee Summary'!A46,'FT Fee'!$A$22:$K$171,9,FALSE),"")</f>
        <v/>
      </c>
      <c r="AG88" s="301" t="str">
        <f t="shared" si="14"/>
        <v/>
      </c>
      <c r="AH88" s="457" t="str">
        <f t="array" ref="AH88">IF(IFERROR(INDEX($AM$11:$AM$177, MATCH(0,COUNTIF($AH$10:AH87,$AM$11:$AM$177), 0)),"")=0,"",IFERROR(INDEX($AM$11:$AM$177, MATCH(0,COUNTIF($AH$10:AH87,$AM$11:$AM$177), 0)),""))</f>
        <v/>
      </c>
      <c r="AI88" s="301" t="str">
        <f t="shared" si="15"/>
        <v/>
      </c>
      <c r="AK88" s="469" t="str">
        <f>IF('FT Fee (Franchise)'!C96="","",MAX(AK$10:AK87)+1)</f>
        <v/>
      </c>
      <c r="AL88" s="470" t="str">
        <f>IF(AND('FT Fee (Franchise)'!C96="",'FT Fee (Franchise)'!I96=""),"",'FT Fee (Franchise)'!C96)</f>
        <v/>
      </c>
      <c r="AM88" s="471" t="str">
        <f t="shared" si="13"/>
        <v/>
      </c>
    </row>
    <row r="89" spans="1:39" ht="18.75" x14ac:dyDescent="0.25">
      <c r="A89" s="71">
        <v>76</v>
      </c>
      <c r="B89" s="477" t="str">
        <f t="shared" si="16"/>
        <v/>
      </c>
      <c r="C89" s="478" t="str">
        <f t="shared" si="18"/>
        <v/>
      </c>
      <c r="D89" s="479" t="str">
        <f t="shared" si="17"/>
        <v/>
      </c>
      <c r="E89" s="413">
        <v>3</v>
      </c>
      <c r="F89" s="414">
        <v>76</v>
      </c>
      <c r="K89" s="301" t="str">
        <f>IF(ISERROR(RANK(L89,$L$23:$L$473,1)+COUNTIF($L$23:L89,L89)-1)=TRUE,"",RANK(L89,$L$23:$L$473,1)+COUNTIF($L$23:L89,L89)-1)</f>
        <v/>
      </c>
      <c r="L89" s="301" t="str">
        <f t="shared" si="19"/>
        <v/>
      </c>
      <c r="M89" s="301" t="str">
        <f>IF(AND('FT Fee'!H55="Yes"),VLOOKUP('Fee Summary'!A47,'FT Fee'!$A$22:$K$171,2,FALSE),"")</f>
        <v/>
      </c>
      <c r="N89" s="301" t="str">
        <f>IF(AND('FT Fee'!H55="Yes"),VLOOKUP('Fee Summary'!A47,'FT Fee'!$A$22:$K$171,3,FALSE),"")</f>
        <v/>
      </c>
      <c r="O89" s="301" t="str">
        <f>IF(AND('FT Fee'!H55="Yes"),VLOOKUP('Fee Summary'!A47,'FT Fee'!$A$22:$K$171,9,FALSE),"")</f>
        <v/>
      </c>
      <c r="AG89" s="301" t="str">
        <f t="shared" si="14"/>
        <v/>
      </c>
      <c r="AH89" s="457" t="str">
        <f t="array" ref="AH89">IF(IFERROR(INDEX($AM$11:$AM$177, MATCH(0,COUNTIF($AH$10:AH88,$AM$11:$AM$177), 0)),"")=0,"",IFERROR(INDEX($AM$11:$AM$177, MATCH(0,COUNTIF($AH$10:AH88,$AM$11:$AM$177), 0)),""))</f>
        <v/>
      </c>
      <c r="AI89" s="301" t="str">
        <f t="shared" si="15"/>
        <v/>
      </c>
      <c r="AK89" s="469" t="str">
        <f>IF('FT Fee (Franchise)'!C97="","",MAX(AK$10:AK88)+1)</f>
        <v/>
      </c>
      <c r="AL89" s="470" t="str">
        <f>IF(AND('FT Fee (Franchise)'!C97="",'FT Fee (Franchise)'!I97=""),"",'FT Fee (Franchise)'!C97)</f>
        <v/>
      </c>
      <c r="AM89" s="471" t="str">
        <f t="shared" si="13"/>
        <v/>
      </c>
    </row>
    <row r="90" spans="1:39" ht="18.75" x14ac:dyDescent="0.25">
      <c r="A90" s="70">
        <v>77</v>
      </c>
      <c r="B90" s="477" t="str">
        <f t="shared" si="16"/>
        <v/>
      </c>
      <c r="C90" s="478" t="str">
        <f t="shared" si="18"/>
        <v/>
      </c>
      <c r="D90" s="479" t="str">
        <f t="shared" si="17"/>
        <v/>
      </c>
      <c r="E90" s="413">
        <v>3</v>
      </c>
      <c r="F90" s="414">
        <v>77</v>
      </c>
      <c r="K90" s="301" t="str">
        <f>IF(ISERROR(RANK(L90,$L$23:$L$473,1)+COUNTIF($L$23:L90,L90)-1)=TRUE,"",RANK(L90,$L$23:$L$473,1)+COUNTIF($L$23:L90,L90)-1)</f>
        <v/>
      </c>
      <c r="L90" s="301" t="str">
        <f t="shared" si="19"/>
        <v/>
      </c>
      <c r="M90" s="301" t="str">
        <f>IF(AND('FT Fee'!H56="Yes"),VLOOKUP('Fee Summary'!A48,'FT Fee'!$A$22:$K$171,2,FALSE),"")</f>
        <v/>
      </c>
      <c r="N90" s="301" t="str">
        <f>IF(AND('FT Fee'!H56="Yes"),VLOOKUP('Fee Summary'!A48,'FT Fee'!$A$22:$K$171,3,FALSE),"")</f>
        <v/>
      </c>
      <c r="O90" s="301" t="str">
        <f>IF(AND('FT Fee'!H56="Yes"),VLOOKUP('Fee Summary'!A48,'FT Fee'!$A$22:$K$171,9,FALSE),"")</f>
        <v/>
      </c>
      <c r="AG90" s="301" t="str">
        <f t="shared" si="14"/>
        <v/>
      </c>
      <c r="AH90" s="457" t="str">
        <f t="array" ref="AH90">IF(IFERROR(INDEX($AM$11:$AM$177, MATCH(0,COUNTIF($AH$10:AH89,$AM$11:$AM$177), 0)),"")=0,"",IFERROR(INDEX($AM$11:$AM$177, MATCH(0,COUNTIF($AH$10:AH89,$AM$11:$AM$177), 0)),""))</f>
        <v/>
      </c>
      <c r="AI90" s="301" t="str">
        <f t="shared" si="15"/>
        <v/>
      </c>
      <c r="AK90" s="469" t="str">
        <f>IF('FT Fee (Franchise)'!C98="","",MAX(AK$10:AK89)+1)</f>
        <v/>
      </c>
      <c r="AL90" s="470" t="str">
        <f>IF(AND('FT Fee (Franchise)'!C98="",'FT Fee (Franchise)'!I98=""),"",'FT Fee (Franchise)'!C98)</f>
        <v/>
      </c>
      <c r="AM90" s="471" t="str">
        <f t="shared" si="13"/>
        <v/>
      </c>
    </row>
    <row r="91" spans="1:39" ht="18.75" x14ac:dyDescent="0.25">
      <c r="A91" s="71">
        <v>78</v>
      </c>
      <c r="B91" s="477" t="str">
        <f t="shared" si="16"/>
        <v/>
      </c>
      <c r="C91" s="478" t="str">
        <f t="shared" si="18"/>
        <v/>
      </c>
      <c r="D91" s="479" t="str">
        <f t="shared" si="17"/>
        <v/>
      </c>
      <c r="E91" s="413">
        <v>3</v>
      </c>
      <c r="F91" s="414">
        <v>78</v>
      </c>
      <c r="K91" s="301" t="str">
        <f>IF(ISERROR(RANK(L91,$L$23:$L$473,1)+COUNTIF($L$23:L91,L91)-1)=TRUE,"",RANK(L91,$L$23:$L$473,1)+COUNTIF($L$23:L91,L91)-1)</f>
        <v/>
      </c>
      <c r="L91" s="301" t="str">
        <f t="shared" si="19"/>
        <v/>
      </c>
      <c r="M91" s="301" t="str">
        <f>IF(AND('FT Fee'!H57="Yes"),VLOOKUP('Fee Summary'!A49,'FT Fee'!$A$22:$K$171,2,FALSE),"")</f>
        <v/>
      </c>
      <c r="N91" s="301" t="str">
        <f>IF(AND('FT Fee'!H57="Yes"),VLOOKUP('Fee Summary'!A49,'FT Fee'!$A$22:$K$171,3,FALSE),"")</f>
        <v/>
      </c>
      <c r="O91" s="301" t="str">
        <f>IF(AND('FT Fee'!H57="Yes"),VLOOKUP('Fee Summary'!A49,'FT Fee'!$A$22:$K$171,9,FALSE),"")</f>
        <v/>
      </c>
      <c r="AG91" s="301" t="str">
        <f t="shared" si="14"/>
        <v/>
      </c>
      <c r="AH91" s="457" t="str">
        <f t="array" ref="AH91">IF(IFERROR(INDEX($AM$11:$AM$177, MATCH(0,COUNTIF($AH$10:AH90,$AM$11:$AM$177), 0)),"")=0,"",IFERROR(INDEX($AM$11:$AM$177, MATCH(0,COUNTIF($AH$10:AH90,$AM$11:$AM$177), 0)),""))</f>
        <v/>
      </c>
      <c r="AI91" s="301" t="str">
        <f t="shared" si="15"/>
        <v/>
      </c>
      <c r="AK91" s="469" t="str">
        <f>IF('FT Fee (Franchise)'!C99="","",MAX(AK$10:AK90)+1)</f>
        <v/>
      </c>
      <c r="AL91" s="470" t="str">
        <f>IF(AND('FT Fee (Franchise)'!C99="",'FT Fee (Franchise)'!I99=""),"",'FT Fee (Franchise)'!C99)</f>
        <v/>
      </c>
      <c r="AM91" s="471" t="str">
        <f t="shared" si="13"/>
        <v/>
      </c>
    </row>
    <row r="92" spans="1:39" ht="18.75" x14ac:dyDescent="0.25">
      <c r="A92" s="71">
        <v>79</v>
      </c>
      <c r="B92" s="477" t="str">
        <f t="shared" si="16"/>
        <v/>
      </c>
      <c r="C92" s="478" t="str">
        <f t="shared" si="18"/>
        <v/>
      </c>
      <c r="D92" s="479" t="str">
        <f t="shared" si="17"/>
        <v/>
      </c>
      <c r="E92" s="413">
        <v>3</v>
      </c>
      <c r="F92" s="414">
        <v>79</v>
      </c>
      <c r="K92" s="301" t="str">
        <f>IF(ISERROR(RANK(L92,$L$23:$L$473,1)+COUNTIF($L$23:L92,L92)-1)=TRUE,"",RANK(L92,$L$23:$L$473,1)+COUNTIF($L$23:L92,L92)-1)</f>
        <v/>
      </c>
      <c r="L92" s="301" t="str">
        <f t="shared" si="19"/>
        <v/>
      </c>
      <c r="M92" s="301" t="str">
        <f>IF(AND('FT Fee'!H58="Yes"),VLOOKUP('Fee Summary'!A50,'FT Fee'!$A$22:$K$171,2,FALSE),"")</f>
        <v/>
      </c>
      <c r="N92" s="301" t="str">
        <f>IF(AND('FT Fee'!H58="Yes"),VLOOKUP('Fee Summary'!A50,'FT Fee'!$A$22:$K$171,3,FALSE),"")</f>
        <v/>
      </c>
      <c r="O92" s="301" t="str">
        <f>IF(AND('FT Fee'!H58="Yes"),VLOOKUP('Fee Summary'!A50,'FT Fee'!$A$22:$K$171,9,FALSE),"")</f>
        <v/>
      </c>
      <c r="AG92" s="301" t="str">
        <f t="shared" si="14"/>
        <v/>
      </c>
      <c r="AH92" s="457" t="str">
        <f t="array" ref="AH92">IF(IFERROR(INDEX($AM$11:$AM$177, MATCH(0,COUNTIF($AH$10:AH91,$AM$11:$AM$177), 0)),"")=0,"",IFERROR(INDEX($AM$11:$AM$177, MATCH(0,COUNTIF($AH$10:AH91,$AM$11:$AM$177), 0)),""))</f>
        <v/>
      </c>
      <c r="AI92" s="301" t="str">
        <f t="shared" si="15"/>
        <v/>
      </c>
      <c r="AK92" s="469" t="str">
        <f>IF('FT Fee (Franchise)'!C100="","",MAX(AK$10:AK91)+1)</f>
        <v/>
      </c>
      <c r="AL92" s="470" t="str">
        <f>IF(AND('FT Fee (Franchise)'!C100="",'FT Fee (Franchise)'!I100=""),"",'FT Fee (Franchise)'!C100)</f>
        <v/>
      </c>
      <c r="AM92" s="471" t="str">
        <f t="shared" si="13"/>
        <v/>
      </c>
    </row>
    <row r="93" spans="1:39" ht="18.75" x14ac:dyDescent="0.25">
      <c r="A93" s="71">
        <v>80</v>
      </c>
      <c r="B93" s="477" t="str">
        <f t="shared" si="16"/>
        <v/>
      </c>
      <c r="C93" s="478" t="str">
        <f t="shared" si="18"/>
        <v/>
      </c>
      <c r="D93" s="479" t="str">
        <f t="shared" si="17"/>
        <v/>
      </c>
      <c r="E93" s="413">
        <v>3</v>
      </c>
      <c r="F93" s="414">
        <v>80</v>
      </c>
      <c r="K93" s="301" t="str">
        <f>IF(ISERROR(RANK(L93,$L$23:$L$473,1)+COUNTIF($L$23:L93,L93)-1)=TRUE,"",RANK(L93,$L$23:$L$473,1)+COUNTIF($L$23:L93,L93)-1)</f>
        <v/>
      </c>
      <c r="L93" s="301" t="str">
        <f t="shared" si="19"/>
        <v/>
      </c>
      <c r="M93" s="301" t="str">
        <f>IF(AND('FT Fee'!H59="Yes"),VLOOKUP('Fee Summary'!A51,'FT Fee'!$A$22:$K$171,2,FALSE),"")</f>
        <v/>
      </c>
      <c r="N93" s="301" t="str">
        <f>IF(AND('FT Fee'!H59="Yes"),VLOOKUP('Fee Summary'!A51,'FT Fee'!$A$22:$K$171,3,FALSE),"")</f>
        <v/>
      </c>
      <c r="O93" s="301" t="str">
        <f>IF(AND('FT Fee'!H59="Yes"),VLOOKUP('Fee Summary'!A51,'FT Fee'!$A$22:$K$171,9,FALSE),"")</f>
        <v/>
      </c>
      <c r="AG93" s="301" t="str">
        <f t="shared" si="14"/>
        <v/>
      </c>
      <c r="AH93" s="457" t="str">
        <f t="array" ref="AH93">IF(IFERROR(INDEX($AM$11:$AM$177, MATCH(0,COUNTIF($AH$10:AH92,$AM$11:$AM$177), 0)),"")=0,"",IFERROR(INDEX($AM$11:$AM$177, MATCH(0,COUNTIF($AH$10:AH92,$AM$11:$AM$177), 0)),""))</f>
        <v/>
      </c>
      <c r="AI93" s="301" t="str">
        <f t="shared" si="15"/>
        <v/>
      </c>
      <c r="AK93" s="469" t="str">
        <f>IF('FT Fee (Franchise)'!C101="","",MAX(AK$10:AK92)+1)</f>
        <v/>
      </c>
      <c r="AL93" s="470" t="str">
        <f>IF(AND('FT Fee (Franchise)'!C101="",'FT Fee (Franchise)'!I101=""),"",'FT Fee (Franchise)'!C101)</f>
        <v/>
      </c>
      <c r="AM93" s="471" t="str">
        <f t="shared" si="13"/>
        <v/>
      </c>
    </row>
    <row r="94" spans="1:39" ht="18.75" x14ac:dyDescent="0.25">
      <c r="A94" s="70">
        <v>81</v>
      </c>
      <c r="B94" s="477" t="str">
        <f t="shared" si="16"/>
        <v/>
      </c>
      <c r="C94" s="478" t="str">
        <f t="shared" si="18"/>
        <v/>
      </c>
      <c r="D94" s="479" t="str">
        <f t="shared" si="17"/>
        <v/>
      </c>
      <c r="E94" s="413">
        <v>3</v>
      </c>
      <c r="F94" s="414">
        <v>81</v>
      </c>
      <c r="K94" s="301" t="str">
        <f>IF(ISERROR(RANK(L94,$L$23:$L$473,1)+COUNTIF($L$23:L94,L94)-1)=TRUE,"",RANK(L94,$L$23:$L$473,1)+COUNTIF($L$23:L94,L94)-1)</f>
        <v/>
      </c>
      <c r="L94" s="301" t="str">
        <f t="shared" si="19"/>
        <v/>
      </c>
      <c r="M94" s="301" t="str">
        <f>IF(AND('FT Fee'!H60="Yes"),VLOOKUP('Fee Summary'!A52,'FT Fee'!$A$22:$K$171,2,FALSE),"")</f>
        <v/>
      </c>
      <c r="N94" s="301" t="str">
        <f>IF(AND('FT Fee'!H60="Yes"),VLOOKUP('Fee Summary'!A52,'FT Fee'!$A$22:$K$171,3,FALSE),"")</f>
        <v/>
      </c>
      <c r="O94" s="301" t="str">
        <f>IF(AND('FT Fee'!H60="Yes"),VLOOKUP('Fee Summary'!A52,'FT Fee'!$A$22:$K$171,9,FALSE),"")</f>
        <v/>
      </c>
      <c r="AG94" s="301" t="str">
        <f t="shared" si="14"/>
        <v/>
      </c>
      <c r="AH94" s="457" t="str">
        <f t="array" ref="AH94">IF(IFERROR(INDEX($AM$11:$AM$177, MATCH(0,COUNTIF($AH$10:AH93,$AM$11:$AM$177), 0)),"")=0,"",IFERROR(INDEX($AM$11:$AM$177, MATCH(0,COUNTIF($AH$10:AH93,$AM$11:$AM$177), 0)),""))</f>
        <v/>
      </c>
      <c r="AI94" s="301" t="str">
        <f t="shared" si="15"/>
        <v/>
      </c>
      <c r="AK94" s="469" t="str">
        <f>IF('FT Fee (Franchise)'!C102="","",MAX(AK$10:AK93)+1)</f>
        <v/>
      </c>
      <c r="AL94" s="470" t="str">
        <f>IF(AND('FT Fee (Franchise)'!C102="",'FT Fee (Franchise)'!I102=""),"",'FT Fee (Franchise)'!C102)</f>
        <v/>
      </c>
      <c r="AM94" s="471" t="str">
        <f t="shared" si="13"/>
        <v/>
      </c>
    </row>
    <row r="95" spans="1:39" ht="18.75" x14ac:dyDescent="0.25">
      <c r="A95" s="71">
        <v>82</v>
      </c>
      <c r="B95" s="477" t="str">
        <f t="shared" si="16"/>
        <v/>
      </c>
      <c r="C95" s="478" t="str">
        <f t="shared" si="18"/>
        <v/>
      </c>
      <c r="D95" s="479" t="str">
        <f t="shared" si="17"/>
        <v/>
      </c>
      <c r="E95" s="413">
        <v>3</v>
      </c>
      <c r="F95" s="414">
        <v>82</v>
      </c>
      <c r="K95" s="301" t="str">
        <f>IF(ISERROR(RANK(L95,$L$23:$L$473,1)+COUNTIF($L$23:L95,L95)-1)=TRUE,"",RANK(L95,$L$23:$L$473,1)+COUNTIF($L$23:L95,L95)-1)</f>
        <v/>
      </c>
      <c r="L95" s="301" t="str">
        <f t="shared" si="19"/>
        <v/>
      </c>
      <c r="M95" s="301" t="str">
        <f>IF(AND('FT Fee'!H61="Yes"),VLOOKUP('Fee Summary'!A53,'FT Fee'!$A$22:$K$171,2,FALSE),"")</f>
        <v/>
      </c>
      <c r="N95" s="301" t="str">
        <f>IF(AND('FT Fee'!H61="Yes"),VLOOKUP('Fee Summary'!A53,'FT Fee'!$A$22:$K$171,3,FALSE),"")</f>
        <v/>
      </c>
      <c r="O95" s="301" t="str">
        <f>IF(AND('FT Fee'!H61="Yes"),VLOOKUP('Fee Summary'!A53,'FT Fee'!$A$22:$K$171,9,FALSE),"")</f>
        <v/>
      </c>
      <c r="AG95" s="301" t="str">
        <f t="shared" si="14"/>
        <v/>
      </c>
      <c r="AH95" s="457" t="str">
        <f t="array" ref="AH95">IF(IFERROR(INDEX($AM$11:$AM$177, MATCH(0,COUNTIF($AH$10:AH94,$AM$11:$AM$177), 0)),"")=0,"",IFERROR(INDEX($AM$11:$AM$177, MATCH(0,COUNTIF($AH$10:AH94,$AM$11:$AM$177), 0)),""))</f>
        <v/>
      </c>
      <c r="AI95" s="301" t="str">
        <f t="shared" si="15"/>
        <v/>
      </c>
      <c r="AK95" s="469" t="str">
        <f>IF('FT Fee (Franchise)'!C103="","",MAX(AK$10:AK94)+1)</f>
        <v/>
      </c>
      <c r="AL95" s="470" t="str">
        <f>IF(AND('FT Fee (Franchise)'!C103="",'FT Fee (Franchise)'!I103=""),"",'FT Fee (Franchise)'!C103)</f>
        <v/>
      </c>
      <c r="AM95" s="471" t="str">
        <f t="shared" si="13"/>
        <v/>
      </c>
    </row>
    <row r="96" spans="1:39" ht="18.75" x14ac:dyDescent="0.25">
      <c r="A96" s="71">
        <v>83</v>
      </c>
      <c r="B96" s="477" t="str">
        <f t="shared" si="16"/>
        <v/>
      </c>
      <c r="C96" s="478" t="str">
        <f t="shared" si="18"/>
        <v/>
      </c>
      <c r="D96" s="479" t="str">
        <f t="shared" si="17"/>
        <v/>
      </c>
      <c r="E96" s="413">
        <v>3</v>
      </c>
      <c r="F96" s="414">
        <v>83</v>
      </c>
      <c r="K96" s="301" t="str">
        <f>IF(ISERROR(RANK(L96,$L$23:$L$473,1)+COUNTIF($L$23:L96,L96)-1)=TRUE,"",RANK(L96,$L$23:$L$473,1)+COUNTIF($L$23:L96,L96)-1)</f>
        <v/>
      </c>
      <c r="L96" s="301" t="str">
        <f t="shared" si="19"/>
        <v/>
      </c>
      <c r="M96" s="301" t="str">
        <f>IF(AND('FT Fee'!H62="Yes"),VLOOKUP('Fee Summary'!A54,'FT Fee'!$A$22:$K$171,2,FALSE),"")</f>
        <v/>
      </c>
      <c r="N96" s="301" t="str">
        <f>IF(AND('FT Fee'!H62="Yes"),VLOOKUP('Fee Summary'!A54,'FT Fee'!$A$22:$K$171,3,FALSE),"")</f>
        <v/>
      </c>
      <c r="O96" s="301" t="str">
        <f>IF(AND('FT Fee'!H62="Yes"),VLOOKUP('Fee Summary'!A54,'FT Fee'!$A$22:$K$171,9,FALSE),"")</f>
        <v/>
      </c>
      <c r="AG96" s="301" t="str">
        <f t="shared" si="14"/>
        <v/>
      </c>
      <c r="AH96" s="457" t="str">
        <f t="array" ref="AH96">IF(IFERROR(INDEX($AM$11:$AM$177, MATCH(0,COUNTIF($AH$10:AH95,$AM$11:$AM$177), 0)),"")=0,"",IFERROR(INDEX($AM$11:$AM$177, MATCH(0,COUNTIF($AH$10:AH95,$AM$11:$AM$177), 0)),""))</f>
        <v/>
      </c>
      <c r="AI96" s="301" t="str">
        <f t="shared" si="15"/>
        <v/>
      </c>
      <c r="AK96" s="469" t="str">
        <f>IF('FT Fee (Franchise)'!C104="","",MAX(AK$10:AK95)+1)</f>
        <v/>
      </c>
      <c r="AL96" s="470" t="str">
        <f>IF(AND('FT Fee (Franchise)'!C104="",'FT Fee (Franchise)'!I104=""),"",'FT Fee (Franchise)'!C104)</f>
        <v/>
      </c>
      <c r="AM96" s="471" t="str">
        <f t="shared" si="13"/>
        <v/>
      </c>
    </row>
    <row r="97" spans="1:39" ht="18.75" x14ac:dyDescent="0.25">
      <c r="A97" s="71">
        <v>84</v>
      </c>
      <c r="B97" s="477" t="str">
        <f t="shared" si="16"/>
        <v/>
      </c>
      <c r="C97" s="478" t="str">
        <f t="shared" si="18"/>
        <v/>
      </c>
      <c r="D97" s="479" t="str">
        <f t="shared" si="17"/>
        <v/>
      </c>
      <c r="E97" s="413">
        <v>3</v>
      </c>
      <c r="F97" s="414">
        <v>84</v>
      </c>
      <c r="K97" s="301" t="str">
        <f>IF(ISERROR(RANK(L97,$L$23:$L$473,1)+COUNTIF($L$23:L97,L97)-1)=TRUE,"",RANK(L97,$L$23:$L$473,1)+COUNTIF($L$23:L97,L97)-1)</f>
        <v/>
      </c>
      <c r="L97" s="301" t="str">
        <f t="shared" si="19"/>
        <v/>
      </c>
      <c r="M97" s="301" t="str">
        <f>IF(AND('FT Fee'!H63="Yes"),VLOOKUP('Fee Summary'!A55,'FT Fee'!$A$22:$K$171,2,FALSE),"")</f>
        <v/>
      </c>
      <c r="N97" s="301" t="str">
        <f>IF(AND('FT Fee'!H63="Yes"),VLOOKUP('Fee Summary'!A55,'FT Fee'!$A$22:$K$171,3,FALSE),"")</f>
        <v/>
      </c>
      <c r="O97" s="301" t="str">
        <f>IF(AND('FT Fee'!H63="Yes"),VLOOKUP('Fee Summary'!A55,'FT Fee'!$A$22:$K$171,9,FALSE),"")</f>
        <v/>
      </c>
      <c r="AG97" s="301" t="str">
        <f t="shared" si="14"/>
        <v/>
      </c>
      <c r="AH97" s="457" t="str">
        <f t="array" ref="AH97">IF(IFERROR(INDEX($AM$11:$AM$177, MATCH(0,COUNTIF($AH$10:AH96,$AM$11:$AM$177), 0)),"")=0,"",IFERROR(INDEX($AM$11:$AM$177, MATCH(0,COUNTIF($AH$10:AH96,$AM$11:$AM$177), 0)),""))</f>
        <v/>
      </c>
      <c r="AI97" s="301" t="str">
        <f t="shared" si="15"/>
        <v/>
      </c>
      <c r="AK97" s="469" t="str">
        <f>IF('FT Fee (Franchise)'!C105="","",MAX(AK$10:AK96)+1)</f>
        <v/>
      </c>
      <c r="AL97" s="470" t="str">
        <f>IF(AND('FT Fee (Franchise)'!C105="",'FT Fee (Franchise)'!I105=""),"",'FT Fee (Franchise)'!C105)</f>
        <v/>
      </c>
      <c r="AM97" s="471" t="str">
        <f t="shared" si="13"/>
        <v/>
      </c>
    </row>
    <row r="98" spans="1:39" ht="18.75" x14ac:dyDescent="0.25">
      <c r="A98" s="70">
        <v>85</v>
      </c>
      <c r="B98" s="477" t="str">
        <f t="shared" si="16"/>
        <v/>
      </c>
      <c r="C98" s="478" t="str">
        <f t="shared" si="18"/>
        <v/>
      </c>
      <c r="D98" s="479" t="str">
        <f t="shared" si="17"/>
        <v/>
      </c>
      <c r="E98" s="413">
        <v>3</v>
      </c>
      <c r="F98" s="414">
        <v>85</v>
      </c>
      <c r="K98" s="301" t="str">
        <f>IF(ISERROR(RANK(L98,$L$23:$L$473,1)+COUNTIF($L$23:L98,L98)-1)=TRUE,"",RANK(L98,$L$23:$L$473,1)+COUNTIF($L$23:L98,L98)-1)</f>
        <v/>
      </c>
      <c r="L98" s="301" t="str">
        <f t="shared" si="19"/>
        <v/>
      </c>
      <c r="M98" s="301" t="str">
        <f>IF(AND('FT Fee'!H64="Yes"),VLOOKUP('Fee Summary'!A56,'FT Fee'!$A$22:$K$171,2,FALSE),"")</f>
        <v/>
      </c>
      <c r="N98" s="301" t="str">
        <f>IF(AND('FT Fee'!H64="Yes"),VLOOKUP('Fee Summary'!A56,'FT Fee'!$A$22:$K$171,3,FALSE),"")</f>
        <v/>
      </c>
      <c r="O98" s="301" t="str">
        <f>IF(AND('FT Fee'!H64="Yes"),VLOOKUP('Fee Summary'!A56,'FT Fee'!$A$22:$K$171,9,FALSE),"")</f>
        <v/>
      </c>
      <c r="AG98" s="301" t="str">
        <f t="shared" si="14"/>
        <v/>
      </c>
      <c r="AH98" s="457" t="str">
        <f t="array" ref="AH98">IF(IFERROR(INDEX($AM$11:$AM$177, MATCH(0,COUNTIF($AH$10:AH97,$AM$11:$AM$177), 0)),"")=0,"",IFERROR(INDEX($AM$11:$AM$177, MATCH(0,COUNTIF($AH$10:AH97,$AM$11:$AM$177), 0)),""))</f>
        <v/>
      </c>
      <c r="AI98" s="301" t="str">
        <f t="shared" si="15"/>
        <v/>
      </c>
      <c r="AK98" s="469" t="str">
        <f>IF('FT Fee (Franchise)'!C106="","",MAX(AK$10:AK97)+1)</f>
        <v/>
      </c>
      <c r="AL98" s="470" t="str">
        <f>IF(AND('FT Fee (Franchise)'!C106="",'FT Fee (Franchise)'!I106=""),"",'FT Fee (Franchise)'!C106)</f>
        <v/>
      </c>
      <c r="AM98" s="471" t="str">
        <f t="shared" si="13"/>
        <v/>
      </c>
    </row>
    <row r="99" spans="1:39" ht="18.75" x14ac:dyDescent="0.25">
      <c r="A99" s="71">
        <v>86</v>
      </c>
      <c r="B99" s="477" t="str">
        <f t="shared" si="16"/>
        <v/>
      </c>
      <c r="C99" s="478" t="str">
        <f t="shared" si="18"/>
        <v/>
      </c>
      <c r="D99" s="479" t="str">
        <f t="shared" si="17"/>
        <v/>
      </c>
      <c r="E99" s="413">
        <v>3</v>
      </c>
      <c r="F99" s="414">
        <v>86</v>
      </c>
      <c r="K99" s="301" t="str">
        <f>IF(ISERROR(RANK(L99,$L$23:$L$473,1)+COUNTIF($L$23:L99,L99)-1)=TRUE,"",RANK(L99,$L$23:$L$473,1)+COUNTIF($L$23:L99,L99)-1)</f>
        <v/>
      </c>
      <c r="L99" s="301" t="str">
        <f t="shared" si="19"/>
        <v/>
      </c>
      <c r="M99" s="301" t="str">
        <f>IF(AND('FT Fee'!H65="Yes"),VLOOKUP('Fee Summary'!A57,'FT Fee'!$A$22:$K$171,2,FALSE),"")</f>
        <v/>
      </c>
      <c r="N99" s="301" t="str">
        <f>IF(AND('FT Fee'!H65="Yes"),VLOOKUP('Fee Summary'!A57,'FT Fee'!$A$22:$K$171,3,FALSE),"")</f>
        <v/>
      </c>
      <c r="O99" s="301" t="str">
        <f>IF(AND('FT Fee'!H65="Yes"),VLOOKUP('Fee Summary'!A57,'FT Fee'!$A$22:$K$171,9,FALSE),"")</f>
        <v/>
      </c>
      <c r="AG99" s="301" t="str">
        <f t="shared" si="14"/>
        <v/>
      </c>
      <c r="AH99" s="457" t="str">
        <f t="array" ref="AH99">IF(IFERROR(INDEX($AM$11:$AM$177, MATCH(0,COUNTIF($AH$10:AH98,$AM$11:$AM$177), 0)),"")=0,"",IFERROR(INDEX($AM$11:$AM$177, MATCH(0,COUNTIF($AH$10:AH98,$AM$11:$AM$177), 0)),""))</f>
        <v/>
      </c>
      <c r="AI99" s="301" t="str">
        <f t="shared" si="15"/>
        <v/>
      </c>
      <c r="AK99" s="469" t="str">
        <f>IF('FT Fee (Franchise)'!C107="","",MAX(AK$10:AK98)+1)</f>
        <v/>
      </c>
      <c r="AL99" s="470" t="str">
        <f>IF(AND('FT Fee (Franchise)'!C107="",'FT Fee (Franchise)'!I107=""),"",'FT Fee (Franchise)'!C107)</f>
        <v/>
      </c>
      <c r="AM99" s="471" t="str">
        <f t="shared" si="13"/>
        <v/>
      </c>
    </row>
    <row r="100" spans="1:39" ht="18.75" x14ac:dyDescent="0.25">
      <c r="A100" s="71">
        <v>87</v>
      </c>
      <c r="B100" s="477" t="str">
        <f t="shared" si="16"/>
        <v/>
      </c>
      <c r="C100" s="478" t="str">
        <f t="shared" si="18"/>
        <v/>
      </c>
      <c r="D100" s="479" t="str">
        <f t="shared" si="17"/>
        <v/>
      </c>
      <c r="E100" s="413">
        <v>3</v>
      </c>
      <c r="F100" s="414">
        <v>87</v>
      </c>
      <c r="K100" s="301" t="str">
        <f>IF(ISERROR(RANK(L100,$L$23:$L$473,1)+COUNTIF($L$23:L100,L100)-1)=TRUE,"",RANK(L100,$L$23:$L$473,1)+COUNTIF($L$23:L100,L100)-1)</f>
        <v/>
      </c>
      <c r="L100" s="301" t="str">
        <f t="shared" si="19"/>
        <v/>
      </c>
      <c r="M100" s="301" t="str">
        <f>IF(AND('FT Fee'!H66="Yes"),VLOOKUP('Fee Summary'!A58,'FT Fee'!$A$22:$K$171,2,FALSE),"")</f>
        <v/>
      </c>
      <c r="N100" s="301" t="str">
        <f>IF(AND('FT Fee'!H66="Yes"),VLOOKUP('Fee Summary'!A58,'FT Fee'!$A$22:$K$171,3,FALSE),"")</f>
        <v/>
      </c>
      <c r="O100" s="301" t="str">
        <f>IF(AND('FT Fee'!H66="Yes"),VLOOKUP('Fee Summary'!A58,'FT Fee'!$A$22:$K$171,9,FALSE),"")</f>
        <v/>
      </c>
      <c r="AG100" s="301" t="str">
        <f t="shared" si="14"/>
        <v/>
      </c>
      <c r="AH100" s="457" t="str">
        <f t="array" ref="AH100">IF(IFERROR(INDEX($AM$11:$AM$177, MATCH(0,COUNTIF($AH$10:AH99,$AM$11:$AM$177), 0)),"")=0,"",IFERROR(INDEX($AM$11:$AM$177, MATCH(0,COUNTIF($AH$10:AH99,$AM$11:$AM$177), 0)),""))</f>
        <v/>
      </c>
      <c r="AI100" s="301" t="str">
        <f t="shared" si="15"/>
        <v/>
      </c>
      <c r="AK100" s="469" t="str">
        <f>IF('FT Fee (Franchise)'!C108="","",MAX(AK$10:AK99)+1)</f>
        <v/>
      </c>
      <c r="AL100" s="470" t="str">
        <f>IF(AND('FT Fee (Franchise)'!C108="",'FT Fee (Franchise)'!I108=""),"",'FT Fee (Franchise)'!C108)</f>
        <v/>
      </c>
      <c r="AM100" s="471" t="str">
        <f t="shared" si="13"/>
        <v/>
      </c>
    </row>
    <row r="101" spans="1:39" ht="18.75" x14ac:dyDescent="0.25">
      <c r="A101" s="71">
        <v>88</v>
      </c>
      <c r="B101" s="477" t="str">
        <f t="shared" si="16"/>
        <v/>
      </c>
      <c r="C101" s="478" t="str">
        <f t="shared" si="18"/>
        <v/>
      </c>
      <c r="D101" s="479" t="str">
        <f t="shared" si="17"/>
        <v/>
      </c>
      <c r="E101" s="413">
        <v>3</v>
      </c>
      <c r="F101" s="414">
        <v>88</v>
      </c>
      <c r="K101" s="301" t="str">
        <f>IF(ISERROR(RANK(L101,$L$23:$L$473,1)+COUNTIF($L$23:L101,L101)-1)=TRUE,"",RANK(L101,$L$23:$L$473,1)+COUNTIF($L$23:L101,L101)-1)</f>
        <v/>
      </c>
      <c r="L101" s="301" t="str">
        <f t="shared" si="19"/>
        <v/>
      </c>
      <c r="M101" s="301" t="str">
        <f>IF(AND('FT Fee'!H67="Yes"),VLOOKUP('Fee Summary'!A59,'FT Fee'!$A$22:$K$171,2,FALSE),"")</f>
        <v/>
      </c>
      <c r="N101" s="301" t="str">
        <f>IF(AND('FT Fee'!H67="Yes"),VLOOKUP('Fee Summary'!A59,'FT Fee'!$A$22:$K$171,3,FALSE),"")</f>
        <v/>
      </c>
      <c r="O101" s="301" t="str">
        <f>IF(AND('FT Fee'!H67="Yes"),VLOOKUP('Fee Summary'!A59,'FT Fee'!$A$22:$K$171,9,FALSE),"")</f>
        <v/>
      </c>
      <c r="AG101" s="301" t="str">
        <f t="shared" si="14"/>
        <v/>
      </c>
      <c r="AH101" s="457" t="str">
        <f t="array" ref="AH101">IF(IFERROR(INDEX($AM$11:$AM$177, MATCH(0,COUNTIF($AH$10:AH100,$AM$11:$AM$177), 0)),"")=0,"",IFERROR(INDEX($AM$11:$AM$177, MATCH(0,COUNTIF($AH$10:AH100,$AM$11:$AM$177), 0)),""))</f>
        <v/>
      </c>
      <c r="AI101" s="301" t="str">
        <f t="shared" si="15"/>
        <v/>
      </c>
      <c r="AK101" s="469" t="str">
        <f>IF('FT Fee (Franchise)'!C109="","",MAX(AK$10:AK100)+1)</f>
        <v/>
      </c>
      <c r="AL101" s="470" t="str">
        <f>IF(AND('FT Fee (Franchise)'!C109="",'FT Fee (Franchise)'!I109=""),"",'FT Fee (Franchise)'!C109)</f>
        <v/>
      </c>
      <c r="AM101" s="471" t="str">
        <f t="shared" si="13"/>
        <v/>
      </c>
    </row>
    <row r="102" spans="1:39" ht="18.75" x14ac:dyDescent="0.25">
      <c r="A102" s="70">
        <v>89</v>
      </c>
      <c r="B102" s="477" t="str">
        <f t="shared" si="16"/>
        <v/>
      </c>
      <c r="C102" s="478" t="str">
        <f t="shared" si="18"/>
        <v/>
      </c>
      <c r="D102" s="479" t="str">
        <f t="shared" si="17"/>
        <v/>
      </c>
      <c r="E102" s="413">
        <v>3</v>
      </c>
      <c r="F102" s="414">
        <v>89</v>
      </c>
      <c r="K102" s="301" t="str">
        <f>IF(ISERROR(RANK(L102,$L$23:$L$473,1)+COUNTIF($L$23:L102,L102)-1)=TRUE,"",RANK(L102,$L$23:$L$473,1)+COUNTIF($L$23:L102,L102)-1)</f>
        <v/>
      </c>
      <c r="L102" s="301" t="str">
        <f t="shared" si="19"/>
        <v/>
      </c>
      <c r="M102" s="301" t="str">
        <f>IF(AND('FT Fee'!H68="Yes"),VLOOKUP('Fee Summary'!A60,'FT Fee'!$A$22:$K$171,2,FALSE),"")</f>
        <v/>
      </c>
      <c r="N102" s="301" t="str">
        <f>IF(AND('FT Fee'!H68="Yes"),VLOOKUP('Fee Summary'!A60,'FT Fee'!$A$22:$K$171,3,FALSE),"")</f>
        <v/>
      </c>
      <c r="O102" s="301" t="str">
        <f>IF(AND('FT Fee'!H68="Yes"),VLOOKUP('Fee Summary'!A60,'FT Fee'!$A$22:$K$171,9,FALSE),"")</f>
        <v/>
      </c>
      <c r="AG102" s="301" t="str">
        <f t="shared" si="14"/>
        <v/>
      </c>
      <c r="AH102" s="457" t="str">
        <f t="array" ref="AH102">IF(IFERROR(INDEX($AM$11:$AM$177, MATCH(0,COUNTIF($AH$10:AH101,$AM$11:$AM$177), 0)),"")=0,"",IFERROR(INDEX($AM$11:$AM$177, MATCH(0,COUNTIF($AH$10:AH101,$AM$11:$AM$177), 0)),""))</f>
        <v/>
      </c>
      <c r="AI102" s="301" t="str">
        <f t="shared" si="15"/>
        <v/>
      </c>
      <c r="AK102" s="469" t="str">
        <f>IF('FT Fee (Franchise)'!C110="","",MAX(AK$10:AK101)+1)</f>
        <v/>
      </c>
      <c r="AL102" s="470" t="str">
        <f>IF(AND('FT Fee (Franchise)'!C110="",'FT Fee (Franchise)'!I110=""),"",'FT Fee (Franchise)'!C110)</f>
        <v/>
      </c>
      <c r="AM102" s="471" t="str">
        <f t="shared" si="13"/>
        <v/>
      </c>
    </row>
    <row r="103" spans="1:39" ht="18.75" x14ac:dyDescent="0.25">
      <c r="A103" s="71">
        <v>90</v>
      </c>
      <c r="B103" s="477" t="str">
        <f t="shared" si="16"/>
        <v/>
      </c>
      <c r="C103" s="478" t="str">
        <f t="shared" si="18"/>
        <v/>
      </c>
      <c r="D103" s="479" t="str">
        <f t="shared" si="17"/>
        <v/>
      </c>
      <c r="E103" s="413">
        <v>3</v>
      </c>
      <c r="F103" s="414">
        <v>90</v>
      </c>
      <c r="K103" s="301" t="str">
        <f>IF(ISERROR(RANK(L103,$L$23:$L$473,1)+COUNTIF($L$23:L103,L103)-1)=TRUE,"",RANK(L103,$L$23:$L$473,1)+COUNTIF($L$23:L103,L103)-1)</f>
        <v/>
      </c>
      <c r="L103" s="301" t="str">
        <f t="shared" si="19"/>
        <v/>
      </c>
      <c r="M103" s="301" t="str">
        <f>IF(AND('FT Fee'!H69="Yes"),VLOOKUP('Fee Summary'!A61,'FT Fee'!$A$22:$K$171,2,FALSE),"")</f>
        <v/>
      </c>
      <c r="N103" s="301" t="str">
        <f>IF(AND('FT Fee'!H69="Yes"),VLOOKUP('Fee Summary'!A61,'FT Fee'!$A$22:$K$171,3,FALSE),"")</f>
        <v/>
      </c>
      <c r="O103" s="301" t="str">
        <f>IF(AND('FT Fee'!H69="Yes"),VLOOKUP('Fee Summary'!A61,'FT Fee'!$A$22:$K$171,9,FALSE),"")</f>
        <v/>
      </c>
      <c r="AG103" s="301" t="str">
        <f t="shared" si="14"/>
        <v/>
      </c>
      <c r="AH103" s="457" t="str">
        <f t="array" ref="AH103">IF(IFERROR(INDEX($AM$11:$AM$177, MATCH(0,COUNTIF($AH$10:AH102,$AM$11:$AM$177), 0)),"")=0,"",IFERROR(INDEX($AM$11:$AM$177, MATCH(0,COUNTIF($AH$10:AH102,$AM$11:$AM$177), 0)),""))</f>
        <v/>
      </c>
      <c r="AI103" s="301" t="str">
        <f t="shared" si="15"/>
        <v/>
      </c>
      <c r="AK103" s="469" t="str">
        <f>IF('FT Fee (Franchise)'!C111="","",MAX(AK$10:AK102)+1)</f>
        <v/>
      </c>
      <c r="AL103" s="470" t="str">
        <f>IF(AND('FT Fee (Franchise)'!C111="",'FT Fee (Franchise)'!I111=""),"",'FT Fee (Franchise)'!C111)</f>
        <v/>
      </c>
      <c r="AM103" s="471" t="str">
        <f t="shared" si="13"/>
        <v/>
      </c>
    </row>
    <row r="104" spans="1:39" ht="18.75" x14ac:dyDescent="0.25">
      <c r="A104" s="71">
        <v>91</v>
      </c>
      <c r="B104" s="477" t="str">
        <f t="shared" si="16"/>
        <v/>
      </c>
      <c r="C104" s="478" t="str">
        <f t="shared" si="18"/>
        <v/>
      </c>
      <c r="D104" s="479" t="str">
        <f t="shared" si="17"/>
        <v/>
      </c>
      <c r="E104" s="413">
        <v>3</v>
      </c>
      <c r="F104" s="414">
        <v>91</v>
      </c>
      <c r="K104" s="301" t="str">
        <f>IF(ISERROR(RANK(L104,$L$23:$L$473,1)+COUNTIF($L$23:L104,L104)-1)=TRUE,"",RANK(L104,$L$23:$L$473,1)+COUNTIF($L$23:L104,L104)-1)</f>
        <v/>
      </c>
      <c r="L104" s="301" t="str">
        <f t="shared" si="19"/>
        <v/>
      </c>
      <c r="M104" s="301" t="str">
        <f>IF(AND('FT Fee'!H70="Yes"),VLOOKUP('Fee Summary'!A62,'FT Fee'!$A$22:$K$171,2,FALSE),"")</f>
        <v/>
      </c>
      <c r="N104" s="301" t="str">
        <f>IF(AND('FT Fee'!H70="Yes"),VLOOKUP('Fee Summary'!A62,'FT Fee'!$A$22:$K$171,3,FALSE),"")</f>
        <v/>
      </c>
      <c r="O104" s="301" t="str">
        <f>IF(AND('FT Fee'!H70="Yes"),VLOOKUP('Fee Summary'!A62,'FT Fee'!$A$22:$K$171,9,FALSE),"")</f>
        <v/>
      </c>
      <c r="AG104" s="301" t="str">
        <f t="shared" si="14"/>
        <v/>
      </c>
      <c r="AH104" s="457" t="str">
        <f t="array" ref="AH104">IF(IFERROR(INDEX($AM$11:$AM$177, MATCH(0,COUNTIF($AH$10:AH103,$AM$11:$AM$177), 0)),"")=0,"",IFERROR(INDEX($AM$11:$AM$177, MATCH(0,COUNTIF($AH$10:AH103,$AM$11:$AM$177), 0)),""))</f>
        <v/>
      </c>
      <c r="AI104" s="301" t="str">
        <f t="shared" si="15"/>
        <v/>
      </c>
      <c r="AK104" s="469" t="str">
        <f>IF('FT Fee (Franchise)'!C112="","",MAX(AK$10:AK103)+1)</f>
        <v/>
      </c>
      <c r="AL104" s="470" t="str">
        <f>IF(AND('FT Fee (Franchise)'!C112="",'FT Fee (Franchise)'!I112=""),"",'FT Fee (Franchise)'!C112)</f>
        <v/>
      </c>
      <c r="AM104" s="471" t="str">
        <f t="shared" si="13"/>
        <v/>
      </c>
    </row>
    <row r="105" spans="1:39" ht="18.75" x14ac:dyDescent="0.25">
      <c r="A105" s="71">
        <v>92</v>
      </c>
      <c r="B105" s="477" t="str">
        <f t="shared" si="16"/>
        <v/>
      </c>
      <c r="C105" s="478" t="str">
        <f t="shared" si="18"/>
        <v/>
      </c>
      <c r="D105" s="479" t="str">
        <f t="shared" si="17"/>
        <v/>
      </c>
      <c r="E105" s="413">
        <v>3</v>
      </c>
      <c r="F105" s="414">
        <v>92</v>
      </c>
      <c r="K105" s="301" t="str">
        <f>IF(ISERROR(RANK(L105,$L$23:$L$473,1)+COUNTIF($L$23:L105,L105)-1)=TRUE,"",RANK(L105,$L$23:$L$473,1)+COUNTIF($L$23:L105,L105)-1)</f>
        <v/>
      </c>
      <c r="L105" s="301" t="str">
        <f t="shared" si="19"/>
        <v/>
      </c>
      <c r="M105" s="301" t="str">
        <f>IF(AND('FT Fee'!H71="Yes"),VLOOKUP('Fee Summary'!A63,'FT Fee'!$A$22:$K$171,2,FALSE),"")</f>
        <v/>
      </c>
      <c r="N105" s="301" t="str">
        <f>IF(AND('FT Fee'!H71="Yes"),VLOOKUP('Fee Summary'!A63,'FT Fee'!$A$22:$K$171,3,FALSE),"")</f>
        <v/>
      </c>
      <c r="O105" s="301" t="str">
        <f>IF(AND('FT Fee'!H71="Yes"),VLOOKUP('Fee Summary'!A63,'FT Fee'!$A$22:$K$171,9,FALSE),"")</f>
        <v/>
      </c>
      <c r="AG105" s="301" t="str">
        <f t="shared" si="14"/>
        <v/>
      </c>
      <c r="AH105" s="457" t="str">
        <f t="array" ref="AH105">IF(IFERROR(INDEX($AM$11:$AM$177, MATCH(0,COUNTIF($AH$10:AH104,$AM$11:$AM$177), 0)),"")=0,"",IFERROR(INDEX($AM$11:$AM$177, MATCH(0,COUNTIF($AH$10:AH104,$AM$11:$AM$177), 0)),""))</f>
        <v/>
      </c>
      <c r="AI105" s="301" t="str">
        <f t="shared" si="15"/>
        <v/>
      </c>
      <c r="AK105" s="469" t="str">
        <f>IF('FT Fee (Franchise)'!C113="","",MAX(AK$10:AK104)+1)</f>
        <v/>
      </c>
      <c r="AL105" s="470" t="str">
        <f>IF(AND('FT Fee (Franchise)'!C113="",'FT Fee (Franchise)'!I113=""),"",'FT Fee (Franchise)'!C113)</f>
        <v/>
      </c>
      <c r="AM105" s="471" t="str">
        <f t="shared" si="13"/>
        <v/>
      </c>
    </row>
    <row r="106" spans="1:39" ht="18.75" x14ac:dyDescent="0.25">
      <c r="A106" s="70">
        <v>93</v>
      </c>
      <c r="B106" s="477" t="str">
        <f t="shared" si="16"/>
        <v/>
      </c>
      <c r="C106" s="478" t="str">
        <f t="shared" si="18"/>
        <v/>
      </c>
      <c r="D106" s="479" t="str">
        <f t="shared" si="17"/>
        <v/>
      </c>
      <c r="E106" s="413">
        <v>3</v>
      </c>
      <c r="F106" s="414">
        <v>93</v>
      </c>
      <c r="K106" s="301" t="str">
        <f>IF(ISERROR(RANK(L106,$L$23:$L$473,1)+COUNTIF($L$23:L106,L106)-1)=TRUE,"",RANK(L106,$L$23:$L$473,1)+COUNTIF($L$23:L106,L106)-1)</f>
        <v/>
      </c>
      <c r="L106" s="301" t="str">
        <f t="shared" si="19"/>
        <v/>
      </c>
      <c r="M106" s="301" t="str">
        <f>IF(AND('FT Fee'!H72="Yes"),VLOOKUP('Fee Summary'!A64,'FT Fee'!$A$22:$K$171,2,FALSE),"")</f>
        <v/>
      </c>
      <c r="N106" s="301" t="str">
        <f>IF(AND('FT Fee'!H72="Yes"),VLOOKUP('Fee Summary'!A64,'FT Fee'!$A$22:$K$171,3,FALSE),"")</f>
        <v/>
      </c>
      <c r="O106" s="301" t="str">
        <f>IF(AND('FT Fee'!H72="Yes"),VLOOKUP('Fee Summary'!A64,'FT Fee'!$A$22:$K$171,9,FALSE),"")</f>
        <v/>
      </c>
      <c r="AG106" s="301" t="str">
        <f t="shared" si="14"/>
        <v/>
      </c>
      <c r="AH106" s="457" t="str">
        <f t="array" ref="AH106">IF(IFERROR(INDEX($AM$11:$AM$177, MATCH(0,COUNTIF($AH$10:AH105,$AM$11:$AM$177), 0)),"")=0,"",IFERROR(INDEX($AM$11:$AM$177, MATCH(0,COUNTIF($AH$10:AH105,$AM$11:$AM$177), 0)),""))</f>
        <v/>
      </c>
      <c r="AI106" s="301" t="str">
        <f t="shared" si="15"/>
        <v/>
      </c>
      <c r="AK106" s="469" t="str">
        <f>IF('FT Fee (Franchise)'!C114="","",MAX(AK$10:AK105)+1)</f>
        <v/>
      </c>
      <c r="AL106" s="470" t="str">
        <f>IF(AND('FT Fee (Franchise)'!C114="",'FT Fee (Franchise)'!I114=""),"",'FT Fee (Franchise)'!C114)</f>
        <v/>
      </c>
      <c r="AM106" s="471" t="str">
        <f t="shared" si="13"/>
        <v/>
      </c>
    </row>
    <row r="107" spans="1:39" ht="18.75" x14ac:dyDescent="0.25">
      <c r="A107" s="71">
        <v>94</v>
      </c>
      <c r="B107" s="477" t="str">
        <f t="shared" si="16"/>
        <v/>
      </c>
      <c r="C107" s="478" t="str">
        <f t="shared" si="18"/>
        <v/>
      </c>
      <c r="D107" s="479" t="str">
        <f t="shared" si="17"/>
        <v/>
      </c>
      <c r="E107" s="413">
        <v>3</v>
      </c>
      <c r="F107" s="414">
        <v>94</v>
      </c>
      <c r="K107" s="301" t="str">
        <f>IF(ISERROR(RANK(L107,$L$23:$L$473,1)+COUNTIF($L$23:L107,L107)-1)=TRUE,"",RANK(L107,$L$23:$L$473,1)+COUNTIF($L$23:L107,L107)-1)</f>
        <v/>
      </c>
      <c r="L107" s="301" t="str">
        <f t="shared" si="19"/>
        <v/>
      </c>
      <c r="M107" s="301" t="str">
        <f>IF(AND('FT Fee'!H73="Yes"),VLOOKUP('Fee Summary'!A65,'FT Fee'!$A$22:$K$171,2,FALSE),"")</f>
        <v/>
      </c>
      <c r="N107" s="301" t="str">
        <f>IF(AND('FT Fee'!H73="Yes"),VLOOKUP('Fee Summary'!A65,'FT Fee'!$A$22:$K$171,3,FALSE),"")</f>
        <v/>
      </c>
      <c r="O107" s="301" t="str">
        <f>IF(AND('FT Fee'!H73="Yes"),VLOOKUP('Fee Summary'!A65,'FT Fee'!$A$22:$K$171,9,FALSE),"")</f>
        <v/>
      </c>
      <c r="AG107" s="301" t="str">
        <f t="shared" si="14"/>
        <v/>
      </c>
      <c r="AH107" s="457" t="str">
        <f t="array" ref="AH107">IF(IFERROR(INDEX($AM$11:$AM$177, MATCH(0,COUNTIF($AH$10:AH106,$AM$11:$AM$177), 0)),"")=0,"",IFERROR(INDEX($AM$11:$AM$177, MATCH(0,COUNTIF($AH$10:AH106,$AM$11:$AM$177), 0)),""))</f>
        <v/>
      </c>
      <c r="AI107" s="301" t="str">
        <f t="shared" si="15"/>
        <v/>
      </c>
      <c r="AK107" s="469" t="str">
        <f>IF('FT Fee (Franchise)'!C115="","",MAX(AK$10:AK106)+1)</f>
        <v/>
      </c>
      <c r="AL107" s="470" t="str">
        <f>IF(AND('FT Fee (Franchise)'!C115="",'FT Fee (Franchise)'!I115=""),"",'FT Fee (Franchise)'!C115)</f>
        <v/>
      </c>
      <c r="AM107" s="471" t="str">
        <f t="shared" ref="AM107:AM138" si="20">IFERROR(INDEX($AL$11:$AL$177,MATCH(ROW()-ROW($AM$10),$AK$11:$AK$177,0)),"")</f>
        <v/>
      </c>
    </row>
    <row r="108" spans="1:39" ht="18.75" x14ac:dyDescent="0.25">
      <c r="A108" s="71">
        <v>95</v>
      </c>
      <c r="B108" s="477" t="str">
        <f t="shared" si="16"/>
        <v/>
      </c>
      <c r="C108" s="478" t="str">
        <f t="shared" si="18"/>
        <v/>
      </c>
      <c r="D108" s="479" t="str">
        <f t="shared" si="17"/>
        <v/>
      </c>
      <c r="E108" s="413">
        <v>3</v>
      </c>
      <c r="F108" s="414">
        <v>95</v>
      </c>
      <c r="K108" s="301" t="str">
        <f>IF(ISERROR(RANK(L108,$L$23:$L$473,1)+COUNTIF($L$23:L108,L108)-1)=TRUE,"",RANK(L108,$L$23:$L$473,1)+COUNTIF($L$23:L108,L108)-1)</f>
        <v/>
      </c>
      <c r="L108" s="301" t="str">
        <f t="shared" si="19"/>
        <v/>
      </c>
      <c r="M108" s="301" t="str">
        <f>IF(AND('FT Fee'!H74="Yes"),VLOOKUP('Fee Summary'!A66,'FT Fee'!$A$22:$K$171,2,FALSE),"")</f>
        <v/>
      </c>
      <c r="N108" s="301" t="str">
        <f>IF(AND('FT Fee'!H74="Yes"),VLOOKUP('Fee Summary'!A66,'FT Fee'!$A$22:$K$171,3,FALSE),"")</f>
        <v/>
      </c>
      <c r="O108" s="301" t="str">
        <f>IF(AND('FT Fee'!H74="Yes"),VLOOKUP('Fee Summary'!A66,'FT Fee'!$A$22:$K$171,9,FALSE),"")</f>
        <v/>
      </c>
      <c r="AG108" s="301" t="str">
        <f t="shared" si="14"/>
        <v/>
      </c>
      <c r="AH108" s="457" t="str">
        <f t="array" ref="AH108">IF(IFERROR(INDEX($AM$11:$AM$177, MATCH(0,COUNTIF($AH$10:AH107,$AM$11:$AM$177), 0)),"")=0,"",IFERROR(INDEX($AM$11:$AM$177, MATCH(0,COUNTIF($AH$10:AH107,$AM$11:$AM$177), 0)),""))</f>
        <v/>
      </c>
      <c r="AI108" s="301" t="str">
        <f t="shared" si="15"/>
        <v/>
      </c>
      <c r="AK108" s="469" t="str">
        <f>IF('FT Fee (Franchise)'!C116="","",MAX(AK$10:AK107)+1)</f>
        <v/>
      </c>
      <c r="AL108" s="470" t="str">
        <f>IF(AND('FT Fee (Franchise)'!C116="",'FT Fee (Franchise)'!I116=""),"",'FT Fee (Franchise)'!C116)</f>
        <v/>
      </c>
      <c r="AM108" s="471" t="str">
        <f t="shared" si="20"/>
        <v/>
      </c>
    </row>
    <row r="109" spans="1:39" ht="18.75" x14ac:dyDescent="0.25">
      <c r="A109" s="71">
        <v>96</v>
      </c>
      <c r="B109" s="477" t="str">
        <f t="shared" si="16"/>
        <v/>
      </c>
      <c r="C109" s="478" t="str">
        <f t="shared" si="18"/>
        <v/>
      </c>
      <c r="D109" s="479" t="str">
        <f t="shared" si="17"/>
        <v/>
      </c>
      <c r="E109" s="413">
        <v>3</v>
      </c>
      <c r="F109" s="414">
        <v>96</v>
      </c>
      <c r="K109" s="301" t="str">
        <f>IF(ISERROR(RANK(L109,$L$23:$L$473,1)+COUNTIF($L$23:L109,L109)-1)=TRUE,"",RANK(L109,$L$23:$L$473,1)+COUNTIF($L$23:L109,L109)-1)</f>
        <v/>
      </c>
      <c r="L109" s="301" t="str">
        <f t="shared" si="19"/>
        <v/>
      </c>
      <c r="M109" s="301" t="str">
        <f>IF(AND('FT Fee'!H75="Yes"),VLOOKUP('Fee Summary'!A67,'FT Fee'!$A$22:$K$171,2,FALSE),"")</f>
        <v/>
      </c>
      <c r="N109" s="301" t="str">
        <f>IF(AND('FT Fee'!H75="Yes"),VLOOKUP('Fee Summary'!A67,'FT Fee'!$A$22:$K$171,3,FALSE),"")</f>
        <v/>
      </c>
      <c r="O109" s="301" t="str">
        <f>IF(AND('FT Fee'!H75="Yes"),VLOOKUP('Fee Summary'!A67,'FT Fee'!$A$22:$K$171,9,FALSE),"")</f>
        <v/>
      </c>
      <c r="AG109" s="301" t="str">
        <f t="shared" si="14"/>
        <v/>
      </c>
      <c r="AH109" s="457" t="str">
        <f t="array" ref="AH109">IF(IFERROR(INDEX($AM$11:$AM$177, MATCH(0,COUNTIF($AH$10:AH108,$AM$11:$AM$177), 0)),"")=0,"",IFERROR(INDEX($AM$11:$AM$177, MATCH(0,COUNTIF($AH$10:AH108,$AM$11:$AM$177), 0)),""))</f>
        <v/>
      </c>
      <c r="AI109" s="301" t="str">
        <f t="shared" si="15"/>
        <v/>
      </c>
      <c r="AK109" s="469" t="str">
        <f>IF('FT Fee (Franchise)'!C117="","",MAX(AK$10:AK108)+1)</f>
        <v/>
      </c>
      <c r="AL109" s="470" t="str">
        <f>IF(AND('FT Fee (Franchise)'!C117="",'FT Fee (Franchise)'!I117=""),"",'FT Fee (Franchise)'!C117)</f>
        <v/>
      </c>
      <c r="AM109" s="471" t="str">
        <f t="shared" si="20"/>
        <v/>
      </c>
    </row>
    <row r="110" spans="1:39" ht="18.75" x14ac:dyDescent="0.25">
      <c r="A110" s="70">
        <v>97</v>
      </c>
      <c r="B110" s="477" t="str">
        <f t="shared" si="16"/>
        <v/>
      </c>
      <c r="C110" s="478" t="str">
        <f t="shared" si="18"/>
        <v/>
      </c>
      <c r="D110" s="479" t="str">
        <f t="shared" si="17"/>
        <v/>
      </c>
      <c r="E110" s="413">
        <v>3</v>
      </c>
      <c r="F110" s="414">
        <v>97</v>
      </c>
      <c r="K110" s="301" t="str">
        <f>IF(ISERROR(RANK(L110,$L$23:$L$473,1)+COUNTIF($L$23:L110,L110)-1)=TRUE,"",RANK(L110,$L$23:$L$473,1)+COUNTIF($L$23:L110,L110)-1)</f>
        <v/>
      </c>
      <c r="L110" s="301" t="str">
        <f t="shared" si="19"/>
        <v/>
      </c>
      <c r="M110" s="301" t="str">
        <f>IF(AND('FT Fee'!H76="Yes"),VLOOKUP('Fee Summary'!A68,'FT Fee'!$A$22:$K$171,2,FALSE),"")</f>
        <v/>
      </c>
      <c r="N110" s="301" t="str">
        <f>IF(AND('FT Fee'!H76="Yes"),VLOOKUP('Fee Summary'!A68,'FT Fee'!$A$22:$K$171,3,FALSE),"")</f>
        <v/>
      </c>
      <c r="O110" s="301" t="str">
        <f>IF(AND('FT Fee'!H76="Yes"),VLOOKUP('Fee Summary'!A68,'FT Fee'!$A$22:$K$171,9,FALSE),"")</f>
        <v/>
      </c>
      <c r="AG110" s="301" t="str">
        <f t="shared" si="14"/>
        <v/>
      </c>
      <c r="AH110" s="457" t="str">
        <f t="array" ref="AH110">IF(IFERROR(INDEX($AM$11:$AM$177, MATCH(0,COUNTIF($AH$10:AH109,$AM$11:$AM$177), 0)),"")=0,"",IFERROR(INDEX($AM$11:$AM$177, MATCH(0,COUNTIF($AH$10:AH109,$AM$11:$AM$177), 0)),""))</f>
        <v/>
      </c>
      <c r="AI110" s="301" t="str">
        <f t="shared" si="15"/>
        <v/>
      </c>
      <c r="AK110" s="469" t="str">
        <f>IF('FT Fee (Franchise)'!C118="","",MAX(AK$10:AK109)+1)</f>
        <v/>
      </c>
      <c r="AL110" s="470" t="str">
        <f>IF(AND('FT Fee (Franchise)'!C118="",'FT Fee (Franchise)'!I118=""),"",'FT Fee (Franchise)'!C118)</f>
        <v/>
      </c>
      <c r="AM110" s="471" t="str">
        <f t="shared" si="20"/>
        <v/>
      </c>
    </row>
    <row r="111" spans="1:39" ht="18.75" x14ac:dyDescent="0.25">
      <c r="A111" s="71">
        <v>98</v>
      </c>
      <c r="B111" s="477" t="str">
        <f t="shared" si="16"/>
        <v/>
      </c>
      <c r="C111" s="478" t="str">
        <f t="shared" si="18"/>
        <v/>
      </c>
      <c r="D111" s="479" t="str">
        <f t="shared" si="17"/>
        <v/>
      </c>
      <c r="E111" s="413">
        <v>3</v>
      </c>
      <c r="F111" s="414">
        <v>98</v>
      </c>
      <c r="K111" s="301" t="str">
        <f>IF(ISERROR(RANK(L111,$L$23:$L$473,1)+COUNTIF($L$23:L111,L111)-1)=TRUE,"",RANK(L111,$L$23:$L$473,1)+COUNTIF($L$23:L111,L111)-1)</f>
        <v/>
      </c>
      <c r="L111" s="301" t="str">
        <f t="shared" si="19"/>
        <v/>
      </c>
      <c r="M111" s="301" t="str">
        <f>IF(AND('FT Fee'!H77="Yes"),VLOOKUP('Fee Summary'!A69,'FT Fee'!$A$22:$K$171,2,FALSE),"")</f>
        <v/>
      </c>
      <c r="N111" s="301" t="str">
        <f>IF(AND('FT Fee'!H77="Yes"),VLOOKUP('Fee Summary'!A69,'FT Fee'!$A$22:$K$171,3,FALSE),"")</f>
        <v/>
      </c>
      <c r="O111" s="301" t="str">
        <f>IF(AND('FT Fee'!H77="Yes"),VLOOKUP('Fee Summary'!A69,'FT Fee'!$A$22:$K$171,9,FALSE),"")</f>
        <v/>
      </c>
      <c r="AG111" s="301" t="str">
        <f t="shared" si="14"/>
        <v/>
      </c>
      <c r="AH111" s="457" t="str">
        <f t="array" ref="AH111">IF(IFERROR(INDEX($AM$11:$AM$177, MATCH(0,COUNTIF($AH$10:AH110,$AM$11:$AM$177), 0)),"")=0,"",IFERROR(INDEX($AM$11:$AM$177, MATCH(0,COUNTIF($AH$10:AH110,$AM$11:$AM$177), 0)),""))</f>
        <v/>
      </c>
      <c r="AI111" s="301" t="str">
        <f t="shared" si="15"/>
        <v/>
      </c>
      <c r="AK111" s="469" t="str">
        <f>IF('FT Fee (Franchise)'!C119="","",MAX(AK$10:AK110)+1)</f>
        <v/>
      </c>
      <c r="AL111" s="470" t="str">
        <f>IF(AND('FT Fee (Franchise)'!C119="",'FT Fee (Franchise)'!I119=""),"",'FT Fee (Franchise)'!C119)</f>
        <v/>
      </c>
      <c r="AM111" s="471" t="str">
        <f t="shared" si="20"/>
        <v/>
      </c>
    </row>
    <row r="112" spans="1:39" ht="18.75" x14ac:dyDescent="0.25">
      <c r="A112" s="71">
        <v>99</v>
      </c>
      <c r="B112" s="477" t="str">
        <f t="shared" si="16"/>
        <v/>
      </c>
      <c r="C112" s="478" t="str">
        <f t="shared" si="18"/>
        <v/>
      </c>
      <c r="D112" s="479" t="str">
        <f t="shared" si="17"/>
        <v/>
      </c>
      <c r="E112" s="413">
        <v>3</v>
      </c>
      <c r="F112" s="414">
        <v>99</v>
      </c>
      <c r="K112" s="301" t="str">
        <f>IF(ISERROR(RANK(L112,$L$23:$L$473,1)+COUNTIF($L$23:L112,L112)-1)=TRUE,"",RANK(L112,$L$23:$L$473,1)+COUNTIF($L$23:L112,L112)-1)</f>
        <v/>
      </c>
      <c r="L112" s="301" t="str">
        <f t="shared" si="19"/>
        <v/>
      </c>
      <c r="M112" s="301" t="str">
        <f>IF(AND('FT Fee'!H78="Yes"),VLOOKUP('Fee Summary'!A70,'FT Fee'!$A$22:$K$171,2,FALSE),"")</f>
        <v/>
      </c>
      <c r="N112" s="301" t="str">
        <f>IF(AND('FT Fee'!H78="Yes"),VLOOKUP('Fee Summary'!A70,'FT Fee'!$A$22:$K$171,3,FALSE),"")</f>
        <v/>
      </c>
      <c r="O112" s="301" t="str">
        <f>IF(AND('FT Fee'!H78="Yes"),VLOOKUP('Fee Summary'!A70,'FT Fee'!$A$22:$K$171,9,FALSE),"")</f>
        <v/>
      </c>
      <c r="AG112" s="301" t="str">
        <f t="shared" si="14"/>
        <v/>
      </c>
      <c r="AH112" s="457" t="str">
        <f t="array" ref="AH112">IF(IFERROR(INDEX($AM$11:$AM$177, MATCH(0,COUNTIF($AH$10:AH111,$AM$11:$AM$177), 0)),"")=0,"",IFERROR(INDEX($AM$11:$AM$177, MATCH(0,COUNTIF($AH$10:AH111,$AM$11:$AM$177), 0)),""))</f>
        <v/>
      </c>
      <c r="AI112" s="301" t="str">
        <f t="shared" si="15"/>
        <v/>
      </c>
      <c r="AK112" s="469" t="str">
        <f>IF('FT Fee (Franchise)'!C120="","",MAX(AK$10:AK111)+1)</f>
        <v/>
      </c>
      <c r="AL112" s="470" t="str">
        <f>IF(AND('FT Fee (Franchise)'!C120="",'FT Fee (Franchise)'!I120=""),"",'FT Fee (Franchise)'!C120)</f>
        <v/>
      </c>
      <c r="AM112" s="471" t="str">
        <f t="shared" si="20"/>
        <v/>
      </c>
    </row>
    <row r="113" spans="1:39" ht="18.75" x14ac:dyDescent="0.25">
      <c r="A113" s="71">
        <v>100</v>
      </c>
      <c r="B113" s="477" t="str">
        <f t="shared" si="16"/>
        <v/>
      </c>
      <c r="C113" s="478" t="str">
        <f t="shared" si="18"/>
        <v/>
      </c>
      <c r="D113" s="479" t="str">
        <f t="shared" si="17"/>
        <v/>
      </c>
      <c r="E113" s="413">
        <v>3</v>
      </c>
      <c r="F113" s="414">
        <v>100</v>
      </c>
      <c r="K113" s="301" t="str">
        <f>IF(ISERROR(RANK(L113,$L$23:$L$473,1)+COUNTIF($L$23:L113,L113)-1)=TRUE,"",RANK(L113,$L$23:$L$473,1)+COUNTIF($L$23:L113,L113)-1)</f>
        <v/>
      </c>
      <c r="L113" s="301" t="str">
        <f t="shared" si="19"/>
        <v/>
      </c>
      <c r="M113" s="301" t="str">
        <f>IF(AND('FT Fee'!H79="Yes"),VLOOKUP('Fee Summary'!A71,'FT Fee'!$A$22:$K$171,2,FALSE),"")</f>
        <v/>
      </c>
      <c r="N113" s="301" t="str">
        <f>IF(AND('FT Fee'!H79="Yes"),VLOOKUP('Fee Summary'!A71,'FT Fee'!$A$22:$K$171,3,FALSE),"")</f>
        <v/>
      </c>
      <c r="O113" s="301" t="str">
        <f>IF(AND('FT Fee'!H79="Yes"),VLOOKUP('Fee Summary'!A71,'FT Fee'!$A$22:$K$171,9,FALSE),"")</f>
        <v/>
      </c>
      <c r="AG113" s="301" t="str">
        <f t="shared" si="14"/>
        <v/>
      </c>
      <c r="AH113" s="457" t="str">
        <f t="array" ref="AH113">IF(IFERROR(INDEX($AM$11:$AM$177, MATCH(0,COUNTIF($AH$10:AH112,$AM$11:$AM$177), 0)),"")=0,"",IFERROR(INDEX($AM$11:$AM$177, MATCH(0,COUNTIF($AH$10:AH112,$AM$11:$AM$177), 0)),""))</f>
        <v/>
      </c>
      <c r="AI113" s="301" t="str">
        <f t="shared" si="15"/>
        <v/>
      </c>
      <c r="AK113" s="469" t="str">
        <f>IF('FT Fee (Franchise)'!C121="","",MAX(AK$10:AK112)+1)</f>
        <v/>
      </c>
      <c r="AL113" s="470" t="str">
        <f>IF(AND('FT Fee (Franchise)'!C121="",'FT Fee (Franchise)'!I121=""),"",'FT Fee (Franchise)'!C121)</f>
        <v/>
      </c>
      <c r="AM113" s="471" t="str">
        <f t="shared" si="20"/>
        <v/>
      </c>
    </row>
    <row r="114" spans="1:39" ht="18.75" x14ac:dyDescent="0.25">
      <c r="A114" s="70">
        <v>101</v>
      </c>
      <c r="B114" s="477" t="str">
        <f t="shared" si="16"/>
        <v/>
      </c>
      <c r="C114" s="478" t="str">
        <f t="shared" si="18"/>
        <v/>
      </c>
      <c r="D114" s="479" t="str">
        <f t="shared" si="17"/>
        <v/>
      </c>
      <c r="E114" s="413">
        <v>3</v>
      </c>
      <c r="F114" s="414">
        <v>101</v>
      </c>
      <c r="K114" s="301" t="str">
        <f>IF(ISERROR(RANK(L114,$L$23:$L$473,1)+COUNTIF($L$23:L114,L114)-1)=TRUE,"",RANK(L114,$L$23:$L$473,1)+COUNTIF($L$23:L114,L114)-1)</f>
        <v/>
      </c>
      <c r="L114" s="301" t="str">
        <f t="shared" si="19"/>
        <v/>
      </c>
      <c r="M114" s="301" t="str">
        <f>IF(AND('FT Fee'!H80="Yes"),VLOOKUP('Fee Summary'!A72,'FT Fee'!$A$22:$K$171,2,FALSE),"")</f>
        <v/>
      </c>
      <c r="N114" s="301" t="str">
        <f>IF(AND('FT Fee'!H80="Yes"),VLOOKUP('Fee Summary'!A72,'FT Fee'!$A$22:$K$171,3,FALSE),"")</f>
        <v/>
      </c>
      <c r="O114" s="301" t="str">
        <f>IF(AND('FT Fee'!H80="Yes"),VLOOKUP('Fee Summary'!A72,'FT Fee'!$A$22:$K$171,9,FALSE),"")</f>
        <v/>
      </c>
      <c r="AG114" s="301" t="str">
        <f t="shared" si="14"/>
        <v/>
      </c>
      <c r="AH114" s="457" t="str">
        <f t="array" ref="AH114">IF(IFERROR(INDEX($AM$11:$AM$177, MATCH(0,COUNTIF($AH$10:AH113,$AM$11:$AM$177), 0)),"")=0,"",IFERROR(INDEX($AM$11:$AM$177, MATCH(0,COUNTIF($AH$10:AH113,$AM$11:$AM$177), 0)),""))</f>
        <v/>
      </c>
      <c r="AI114" s="301" t="str">
        <f t="shared" si="15"/>
        <v/>
      </c>
      <c r="AK114" s="469" t="str">
        <f>IF('FT Fee (Franchise)'!C122="","",MAX(AK$10:AK113)+1)</f>
        <v/>
      </c>
      <c r="AL114" s="470" t="str">
        <f>IF(AND('FT Fee (Franchise)'!C122="",'FT Fee (Franchise)'!I122=""),"",'FT Fee (Franchise)'!C122)</f>
        <v/>
      </c>
      <c r="AM114" s="471" t="str">
        <f t="shared" si="20"/>
        <v/>
      </c>
    </row>
    <row r="115" spans="1:39" ht="18.75" x14ac:dyDescent="0.25">
      <c r="A115" s="71">
        <v>102</v>
      </c>
      <c r="B115" s="477" t="str">
        <f t="shared" si="16"/>
        <v/>
      </c>
      <c r="C115" s="478" t="str">
        <f t="shared" si="18"/>
        <v/>
      </c>
      <c r="D115" s="479" t="str">
        <f t="shared" si="17"/>
        <v/>
      </c>
      <c r="E115" s="413">
        <v>3</v>
      </c>
      <c r="F115" s="414">
        <v>102</v>
      </c>
      <c r="K115" s="301" t="str">
        <f>IF(ISERROR(RANK(L115,$L$23:$L$473,1)+COUNTIF($L$23:L115,L115)-1)=TRUE,"",RANK(L115,$L$23:$L$473,1)+COUNTIF($L$23:L115,L115)-1)</f>
        <v/>
      </c>
      <c r="L115" s="301" t="str">
        <f t="shared" si="19"/>
        <v/>
      </c>
      <c r="M115" s="301" t="str">
        <f>IF(AND('FT Fee'!H81="Yes"),VLOOKUP('Fee Summary'!A73,'FT Fee'!$A$22:$K$171,2,FALSE),"")</f>
        <v/>
      </c>
      <c r="N115" s="301" t="str">
        <f>IF(AND('FT Fee'!H81="Yes"),VLOOKUP('Fee Summary'!A73,'FT Fee'!$A$22:$K$171,3,FALSE),"")</f>
        <v/>
      </c>
      <c r="O115" s="301" t="str">
        <f>IF(AND('FT Fee'!H81="Yes"),VLOOKUP('Fee Summary'!A73,'FT Fee'!$A$22:$K$171,9,FALSE),"")</f>
        <v/>
      </c>
      <c r="AG115" s="301" t="str">
        <f t="shared" si="14"/>
        <v/>
      </c>
      <c r="AH115" s="457" t="str">
        <f t="array" ref="AH115">IF(IFERROR(INDEX($AM$11:$AM$177, MATCH(0,COUNTIF($AH$10:AH114,$AM$11:$AM$177), 0)),"")=0,"",IFERROR(INDEX($AM$11:$AM$177, MATCH(0,COUNTIF($AH$10:AH114,$AM$11:$AM$177), 0)),""))</f>
        <v/>
      </c>
      <c r="AI115" s="301" t="str">
        <f t="shared" si="15"/>
        <v/>
      </c>
      <c r="AK115" s="469" t="str">
        <f>IF('FT Fee (Franchise)'!C123="","",MAX(AK$10:AK114)+1)</f>
        <v/>
      </c>
      <c r="AL115" s="470" t="str">
        <f>IF(AND('FT Fee (Franchise)'!C123="",'FT Fee (Franchise)'!I123=""),"",'FT Fee (Franchise)'!C123)</f>
        <v/>
      </c>
      <c r="AM115" s="471" t="str">
        <f t="shared" si="20"/>
        <v/>
      </c>
    </row>
    <row r="116" spans="1:39" ht="18.75" x14ac:dyDescent="0.25">
      <c r="A116" s="71">
        <v>103</v>
      </c>
      <c r="B116" s="477" t="str">
        <f t="shared" si="16"/>
        <v/>
      </c>
      <c r="C116" s="478" t="str">
        <f t="shared" si="18"/>
        <v/>
      </c>
      <c r="D116" s="479" t="str">
        <f t="shared" si="17"/>
        <v/>
      </c>
      <c r="E116" s="413">
        <v>3</v>
      </c>
      <c r="F116" s="414">
        <v>103</v>
      </c>
      <c r="K116" s="301" t="str">
        <f>IF(ISERROR(RANK(L116,$L$23:$L$473,1)+COUNTIF($L$23:L116,L116)-1)=TRUE,"",RANK(L116,$L$23:$L$473,1)+COUNTIF($L$23:L116,L116)-1)</f>
        <v/>
      </c>
      <c r="L116" s="301" t="str">
        <f t="shared" si="19"/>
        <v/>
      </c>
      <c r="M116" s="301" t="str">
        <f>IF(AND('FT Fee'!H82="Yes"),VLOOKUP('Fee Summary'!A74,'FT Fee'!$A$22:$K$171,2,FALSE),"")</f>
        <v/>
      </c>
      <c r="N116" s="301" t="str">
        <f>IF(AND('FT Fee'!H82="Yes"),VLOOKUP('Fee Summary'!A74,'FT Fee'!$A$22:$K$171,3,FALSE),"")</f>
        <v/>
      </c>
      <c r="O116" s="301" t="str">
        <f>IF(AND('FT Fee'!H82="Yes"),VLOOKUP('Fee Summary'!A74,'FT Fee'!$A$22:$K$171,9,FALSE),"")</f>
        <v/>
      </c>
      <c r="AG116" s="301" t="str">
        <f t="shared" si="14"/>
        <v/>
      </c>
      <c r="AH116" s="457" t="str">
        <f t="array" ref="AH116">IF(IFERROR(INDEX($AM$11:$AM$177, MATCH(0,COUNTIF($AH$10:AH115,$AM$11:$AM$177), 0)),"")=0,"",IFERROR(INDEX($AM$11:$AM$177, MATCH(0,COUNTIF($AH$10:AH115,$AM$11:$AM$177), 0)),""))</f>
        <v/>
      </c>
      <c r="AI116" s="301" t="str">
        <f t="shared" si="15"/>
        <v/>
      </c>
      <c r="AK116" s="469" t="str">
        <f>IF('FT Fee (Franchise)'!C124="","",MAX(AK$10:AK115)+1)</f>
        <v/>
      </c>
      <c r="AL116" s="470" t="str">
        <f>IF(AND('FT Fee (Franchise)'!C124="",'FT Fee (Franchise)'!I124=""),"",'FT Fee (Franchise)'!C124)</f>
        <v/>
      </c>
      <c r="AM116" s="471" t="str">
        <f t="shared" si="20"/>
        <v/>
      </c>
    </row>
    <row r="117" spans="1:39" ht="18.75" x14ac:dyDescent="0.25">
      <c r="A117" s="71">
        <v>104</v>
      </c>
      <c r="B117" s="477" t="str">
        <f t="shared" si="16"/>
        <v/>
      </c>
      <c r="C117" s="478" t="str">
        <f t="shared" si="18"/>
        <v/>
      </c>
      <c r="D117" s="479" t="str">
        <f t="shared" si="17"/>
        <v/>
      </c>
      <c r="E117" s="413">
        <v>3</v>
      </c>
      <c r="F117" s="414">
        <v>104</v>
      </c>
      <c r="K117" s="301" t="str">
        <f>IF(ISERROR(RANK(L117,$L$23:$L$473,1)+COUNTIF($L$23:L117,L117)-1)=TRUE,"",RANK(L117,$L$23:$L$473,1)+COUNTIF($L$23:L117,L117)-1)</f>
        <v/>
      </c>
      <c r="L117" s="301" t="str">
        <f t="shared" si="19"/>
        <v/>
      </c>
      <c r="M117" s="301" t="str">
        <f>IF(AND('FT Fee'!H83="Yes"),VLOOKUP('Fee Summary'!A75,'FT Fee'!$A$22:$K$171,2,FALSE),"")</f>
        <v/>
      </c>
      <c r="N117" s="301" t="str">
        <f>IF(AND('FT Fee'!H83="Yes"),VLOOKUP('Fee Summary'!A75,'FT Fee'!$A$22:$K$171,3,FALSE),"")</f>
        <v/>
      </c>
      <c r="O117" s="301" t="str">
        <f>IF(AND('FT Fee'!H83="Yes"),VLOOKUP('Fee Summary'!A75,'FT Fee'!$A$22:$K$171,9,FALSE),"")</f>
        <v/>
      </c>
      <c r="AG117" s="301" t="str">
        <f t="shared" si="14"/>
        <v/>
      </c>
      <c r="AH117" s="457" t="str">
        <f t="array" ref="AH117">IF(IFERROR(INDEX($AM$11:$AM$177, MATCH(0,COUNTIF($AH$10:AH116,$AM$11:$AM$177), 0)),"")=0,"",IFERROR(INDEX($AM$11:$AM$177, MATCH(0,COUNTIF($AH$10:AH116,$AM$11:$AM$177), 0)),""))</f>
        <v/>
      </c>
      <c r="AI117" s="301" t="str">
        <f t="shared" si="15"/>
        <v/>
      </c>
      <c r="AK117" s="469" t="str">
        <f>IF('FT Fee (Franchise)'!C125="","",MAX(AK$10:AK116)+1)</f>
        <v/>
      </c>
      <c r="AL117" s="470" t="str">
        <f>IF(AND('FT Fee (Franchise)'!C125="",'FT Fee (Franchise)'!I125=""),"",'FT Fee (Franchise)'!C125)</f>
        <v/>
      </c>
      <c r="AM117" s="471" t="str">
        <f t="shared" si="20"/>
        <v/>
      </c>
    </row>
    <row r="118" spans="1:39" ht="18.75" x14ac:dyDescent="0.25">
      <c r="A118" s="70">
        <v>105</v>
      </c>
      <c r="B118" s="477" t="str">
        <f t="shared" si="16"/>
        <v/>
      </c>
      <c r="C118" s="478" t="str">
        <f t="shared" si="18"/>
        <v/>
      </c>
      <c r="D118" s="479" t="str">
        <f t="shared" si="17"/>
        <v/>
      </c>
      <c r="E118" s="413">
        <v>3</v>
      </c>
      <c r="F118" s="414">
        <v>105</v>
      </c>
      <c r="K118" s="301" t="str">
        <f>IF(ISERROR(RANK(L118,$L$23:$L$473,1)+COUNTIF($L$23:L118,L118)-1)=TRUE,"",RANK(L118,$L$23:$L$473,1)+COUNTIF($L$23:L118,L118)-1)</f>
        <v/>
      </c>
      <c r="L118" s="301" t="str">
        <f t="shared" si="19"/>
        <v/>
      </c>
      <c r="M118" s="301" t="str">
        <f>IF(AND('FT Fee'!H84="Yes"),VLOOKUP('Fee Summary'!A76,'FT Fee'!$A$22:$K$171,2,FALSE),"")</f>
        <v/>
      </c>
      <c r="N118" s="301" t="str">
        <f>IF(AND('FT Fee'!H84="Yes"),VLOOKUP('Fee Summary'!A76,'FT Fee'!$A$22:$K$171,3,FALSE),"")</f>
        <v/>
      </c>
      <c r="O118" s="301" t="str">
        <f>IF(AND('FT Fee'!H84="Yes"),VLOOKUP('Fee Summary'!A76,'FT Fee'!$A$22:$K$171,9,FALSE),"")</f>
        <v/>
      </c>
      <c r="AG118" s="301" t="str">
        <f t="shared" si="14"/>
        <v/>
      </c>
      <c r="AH118" s="457" t="str">
        <f t="array" ref="AH118">IF(IFERROR(INDEX($AM$11:$AM$177, MATCH(0,COUNTIF($AH$10:AH117,$AM$11:$AM$177), 0)),"")=0,"",IFERROR(INDEX($AM$11:$AM$177, MATCH(0,COUNTIF($AH$10:AH117,$AM$11:$AM$177), 0)),""))</f>
        <v/>
      </c>
      <c r="AI118" s="301" t="str">
        <f t="shared" si="15"/>
        <v/>
      </c>
      <c r="AK118" s="469" t="str">
        <f>IF('FT Fee (Franchise)'!C126="","",MAX(AK$10:AK117)+1)</f>
        <v/>
      </c>
      <c r="AL118" s="470" t="str">
        <f>IF(AND('FT Fee (Franchise)'!C126="",'FT Fee (Franchise)'!I126=""),"",'FT Fee (Franchise)'!C126)</f>
        <v/>
      </c>
      <c r="AM118" s="471" t="str">
        <f t="shared" si="20"/>
        <v/>
      </c>
    </row>
    <row r="119" spans="1:39" ht="18.75" x14ac:dyDescent="0.25">
      <c r="A119" s="71">
        <v>106</v>
      </c>
      <c r="B119" s="477" t="str">
        <f t="shared" si="16"/>
        <v/>
      </c>
      <c r="C119" s="478" t="str">
        <f t="shared" si="18"/>
        <v/>
      </c>
      <c r="D119" s="479" t="str">
        <f t="shared" si="17"/>
        <v/>
      </c>
      <c r="E119" s="413">
        <v>3</v>
      </c>
      <c r="F119" s="414">
        <v>106</v>
      </c>
      <c r="K119" s="301" t="str">
        <f>IF(ISERROR(RANK(L119,$L$23:$L$473,1)+COUNTIF($L$23:L119,L119)-1)=TRUE,"",RANK(L119,$L$23:$L$473,1)+COUNTIF($L$23:L119,L119)-1)</f>
        <v/>
      </c>
      <c r="L119" s="301" t="str">
        <f t="shared" si="19"/>
        <v/>
      </c>
      <c r="M119" s="301" t="str">
        <f>IF(AND('FT Fee'!H85="Yes"),VLOOKUP('Fee Summary'!A77,'FT Fee'!$A$22:$K$171,2,FALSE),"")</f>
        <v/>
      </c>
      <c r="N119" s="301" t="str">
        <f>IF(AND('FT Fee'!H85="Yes"),VLOOKUP('Fee Summary'!A77,'FT Fee'!$A$22:$K$171,3,FALSE),"")</f>
        <v/>
      </c>
      <c r="O119" s="301" t="str">
        <f>IF(AND('FT Fee'!H85="Yes"),VLOOKUP('Fee Summary'!A77,'FT Fee'!$A$22:$K$171,9,FALSE),"")</f>
        <v/>
      </c>
      <c r="AG119" s="301" t="str">
        <f t="shared" si="14"/>
        <v/>
      </c>
      <c r="AH119" s="457" t="str">
        <f t="array" ref="AH119">IF(IFERROR(INDEX($AM$11:$AM$177, MATCH(0,COUNTIF($AH$10:AH118,$AM$11:$AM$177), 0)),"")=0,"",IFERROR(INDEX($AM$11:$AM$177, MATCH(0,COUNTIF($AH$10:AH118,$AM$11:$AM$177), 0)),""))</f>
        <v/>
      </c>
      <c r="AI119" s="301" t="str">
        <f t="shared" si="15"/>
        <v/>
      </c>
      <c r="AK119" s="469" t="str">
        <f>IF('FT Fee (Franchise)'!C127="","",MAX(AK$10:AK118)+1)</f>
        <v/>
      </c>
      <c r="AL119" s="470" t="str">
        <f>IF(AND('FT Fee (Franchise)'!C127="",'FT Fee (Franchise)'!I127=""),"",'FT Fee (Franchise)'!C127)</f>
        <v/>
      </c>
      <c r="AM119" s="471" t="str">
        <f t="shared" si="20"/>
        <v/>
      </c>
    </row>
    <row r="120" spans="1:39" ht="18.75" x14ac:dyDescent="0.25">
      <c r="A120" s="71">
        <v>107</v>
      </c>
      <c r="B120" s="477" t="str">
        <f t="shared" si="16"/>
        <v/>
      </c>
      <c r="C120" s="478" t="str">
        <f t="shared" si="18"/>
        <v/>
      </c>
      <c r="D120" s="479" t="str">
        <f t="shared" si="17"/>
        <v/>
      </c>
      <c r="E120" s="413">
        <v>3</v>
      </c>
      <c r="F120" s="414">
        <v>107</v>
      </c>
      <c r="K120" s="301" t="str">
        <f>IF(ISERROR(RANK(L120,$L$23:$L$473,1)+COUNTIF($L$23:L120,L120)-1)=TRUE,"",RANK(L120,$L$23:$L$473,1)+COUNTIF($L$23:L120,L120)-1)</f>
        <v/>
      </c>
      <c r="L120" s="301" t="str">
        <f t="shared" ref="L120:L151" si="21">IF(ISERROR(VLOOKUP(M120,$M$11:$M$20,1,FALSE))=TRUE,"",VLOOKUP(M120,$M$11:$P$20,3,FALSE))</f>
        <v/>
      </c>
      <c r="M120" s="301" t="str">
        <f>IF(AND('FT Fee'!H86="Yes"),VLOOKUP('Fee Summary'!A78,'FT Fee'!$A$22:$K$171,2,FALSE),"")</f>
        <v/>
      </c>
      <c r="N120" s="301" t="str">
        <f>IF(AND('FT Fee'!H86="Yes"),VLOOKUP('Fee Summary'!A78,'FT Fee'!$A$22:$K$171,3,FALSE),"")</f>
        <v/>
      </c>
      <c r="O120" s="301" t="str">
        <f>IF(AND('FT Fee'!H86="Yes"),VLOOKUP('Fee Summary'!A78,'FT Fee'!$A$22:$K$171,9,FALSE),"")</f>
        <v/>
      </c>
      <c r="AG120" s="301" t="str">
        <f t="shared" si="14"/>
        <v/>
      </c>
      <c r="AH120" s="457" t="str">
        <f t="array" ref="AH120">IF(IFERROR(INDEX($AM$11:$AM$177, MATCH(0,COUNTIF($AH$10:AH119,$AM$11:$AM$177), 0)),"")=0,"",IFERROR(INDEX($AM$11:$AM$177, MATCH(0,COUNTIF($AH$10:AH119,$AM$11:$AM$177), 0)),""))</f>
        <v/>
      </c>
      <c r="AI120" s="301" t="str">
        <f t="shared" si="15"/>
        <v/>
      </c>
      <c r="AK120" s="469" t="str">
        <f>IF('FT Fee (Franchise)'!C128="","",MAX(AK$10:AK119)+1)</f>
        <v/>
      </c>
      <c r="AL120" s="470" t="str">
        <f>IF(AND('FT Fee (Franchise)'!C128="",'FT Fee (Franchise)'!I128=""),"",'FT Fee (Franchise)'!C128)</f>
        <v/>
      </c>
      <c r="AM120" s="471" t="str">
        <f t="shared" si="20"/>
        <v/>
      </c>
    </row>
    <row r="121" spans="1:39" ht="18.75" x14ac:dyDescent="0.25">
      <c r="A121" s="71">
        <v>108</v>
      </c>
      <c r="B121" s="477" t="str">
        <f t="shared" si="16"/>
        <v/>
      </c>
      <c r="C121" s="478" t="str">
        <f t="shared" si="18"/>
        <v/>
      </c>
      <c r="D121" s="479" t="str">
        <f t="shared" si="17"/>
        <v/>
      </c>
      <c r="E121" s="413">
        <v>3</v>
      </c>
      <c r="F121" s="414">
        <v>108</v>
      </c>
      <c r="K121" s="301" t="str">
        <f>IF(ISERROR(RANK(L121,$L$23:$L$473,1)+COUNTIF($L$23:L121,L121)-1)=TRUE,"",RANK(L121,$L$23:$L$473,1)+COUNTIF($L$23:L121,L121)-1)</f>
        <v/>
      </c>
      <c r="L121" s="301" t="str">
        <f t="shared" si="21"/>
        <v/>
      </c>
      <c r="M121" s="301" t="str">
        <f>IF(AND('FT Fee'!H87="Yes"),VLOOKUP('Fee Summary'!A79,'FT Fee'!$A$22:$K$171,2,FALSE),"")</f>
        <v/>
      </c>
      <c r="N121" s="301" t="str">
        <f>IF(AND('FT Fee'!H87="Yes"),VLOOKUP('Fee Summary'!A79,'FT Fee'!$A$22:$K$171,3,FALSE),"")</f>
        <v/>
      </c>
      <c r="O121" s="301" t="str">
        <f>IF(AND('FT Fee'!H87="Yes"),VLOOKUP('Fee Summary'!A79,'FT Fee'!$A$22:$K$171,9,FALSE),"")</f>
        <v/>
      </c>
      <c r="AG121" s="301" t="str">
        <f t="shared" si="14"/>
        <v/>
      </c>
      <c r="AH121" s="457" t="str">
        <f t="array" ref="AH121">IF(IFERROR(INDEX($AM$11:$AM$177, MATCH(0,COUNTIF($AH$10:AH120,$AM$11:$AM$177), 0)),"")=0,"",IFERROR(INDEX($AM$11:$AM$177, MATCH(0,COUNTIF($AH$10:AH120,$AM$11:$AM$177), 0)),""))</f>
        <v/>
      </c>
      <c r="AI121" s="301" t="str">
        <f t="shared" si="15"/>
        <v/>
      </c>
      <c r="AK121" s="469" t="str">
        <f>IF('FT Fee (Franchise)'!C129="","",MAX(AK$10:AK120)+1)</f>
        <v/>
      </c>
      <c r="AL121" s="470" t="str">
        <f>IF(AND('FT Fee (Franchise)'!C129="",'FT Fee (Franchise)'!I129=""),"",'FT Fee (Franchise)'!C129)</f>
        <v/>
      </c>
      <c r="AM121" s="471" t="str">
        <f t="shared" si="20"/>
        <v/>
      </c>
    </row>
    <row r="122" spans="1:39" ht="18.75" x14ac:dyDescent="0.25">
      <c r="A122" s="70">
        <v>109</v>
      </c>
      <c r="B122" s="477" t="str">
        <f t="shared" si="16"/>
        <v/>
      </c>
      <c r="C122" s="478" t="str">
        <f t="shared" si="18"/>
        <v/>
      </c>
      <c r="D122" s="479" t="str">
        <f t="shared" si="17"/>
        <v/>
      </c>
      <c r="E122" s="413">
        <v>3</v>
      </c>
      <c r="F122" s="414">
        <v>109</v>
      </c>
      <c r="K122" s="301" t="str">
        <f>IF(ISERROR(RANK(L122,$L$23:$L$473,1)+COUNTIF($L$23:L122,L122)-1)=TRUE,"",RANK(L122,$L$23:$L$473,1)+COUNTIF($L$23:L122,L122)-1)</f>
        <v/>
      </c>
      <c r="L122" s="301" t="str">
        <f t="shared" si="21"/>
        <v/>
      </c>
      <c r="M122" s="301" t="str">
        <f>IF(AND('FT Fee'!H88="Yes"),VLOOKUP('Fee Summary'!A80,'FT Fee'!$A$22:$K$171,2,FALSE),"")</f>
        <v/>
      </c>
      <c r="N122" s="301" t="str">
        <f>IF(AND('FT Fee'!H88="Yes"),VLOOKUP('Fee Summary'!A80,'FT Fee'!$A$22:$K$171,3,FALSE),"")</f>
        <v/>
      </c>
      <c r="O122" s="301" t="str">
        <f>IF(AND('FT Fee'!H88="Yes"),VLOOKUP('Fee Summary'!A80,'FT Fee'!$A$22:$K$171,9,FALSE),"")</f>
        <v/>
      </c>
      <c r="AG122" s="301" t="str">
        <f t="shared" si="14"/>
        <v/>
      </c>
      <c r="AH122" s="457" t="str">
        <f t="array" ref="AH122">IF(IFERROR(INDEX($AM$11:$AM$177, MATCH(0,COUNTIF($AH$10:AH121,$AM$11:$AM$177), 0)),"")=0,"",IFERROR(INDEX($AM$11:$AM$177, MATCH(0,COUNTIF($AH$10:AH121,$AM$11:$AM$177), 0)),""))</f>
        <v/>
      </c>
      <c r="AI122" s="301" t="str">
        <f t="shared" si="15"/>
        <v/>
      </c>
      <c r="AK122" s="469" t="str">
        <f>IF('FT Fee (Franchise)'!C130="","",MAX(AK$10:AK121)+1)</f>
        <v/>
      </c>
      <c r="AL122" s="470" t="str">
        <f>IF(AND('FT Fee (Franchise)'!C130="",'FT Fee (Franchise)'!I130=""),"",'FT Fee (Franchise)'!C130)</f>
        <v/>
      </c>
      <c r="AM122" s="471" t="str">
        <f t="shared" si="20"/>
        <v/>
      </c>
    </row>
    <row r="123" spans="1:39" ht="18.75" x14ac:dyDescent="0.25">
      <c r="A123" s="71">
        <v>110</v>
      </c>
      <c r="B123" s="477" t="str">
        <f t="shared" si="16"/>
        <v/>
      </c>
      <c r="C123" s="478" t="str">
        <f t="shared" si="18"/>
        <v/>
      </c>
      <c r="D123" s="479" t="str">
        <f t="shared" si="17"/>
        <v/>
      </c>
      <c r="E123" s="413">
        <v>3</v>
      </c>
      <c r="F123" s="414">
        <v>110</v>
      </c>
      <c r="K123" s="301" t="str">
        <f>IF(ISERROR(RANK(L123,$L$23:$L$473,1)+COUNTIF($L$23:L123,L123)-1)=TRUE,"",RANK(L123,$L$23:$L$473,1)+COUNTIF($L$23:L123,L123)-1)</f>
        <v/>
      </c>
      <c r="L123" s="301" t="str">
        <f t="shared" si="21"/>
        <v/>
      </c>
      <c r="M123" s="301" t="str">
        <f>IF(AND('FT Fee'!H89="Yes"),VLOOKUP('Fee Summary'!A81,'FT Fee'!$A$22:$K$171,2,FALSE),"")</f>
        <v/>
      </c>
      <c r="N123" s="301" t="str">
        <f>IF(AND('FT Fee'!H89="Yes"),VLOOKUP('Fee Summary'!A81,'FT Fee'!$A$22:$K$171,3,FALSE),"")</f>
        <v/>
      </c>
      <c r="O123" s="301" t="str">
        <f>IF(AND('FT Fee'!H89="Yes"),VLOOKUP('Fee Summary'!A81,'FT Fee'!$A$22:$K$171,9,FALSE),"")</f>
        <v/>
      </c>
      <c r="AG123" s="301" t="str">
        <f t="shared" si="14"/>
        <v/>
      </c>
      <c r="AH123" s="457" t="str">
        <f t="array" ref="AH123">IF(IFERROR(INDEX($AM$11:$AM$177, MATCH(0,COUNTIF($AH$10:AH122,$AM$11:$AM$177), 0)),"")=0,"",IFERROR(INDEX($AM$11:$AM$177, MATCH(0,COUNTIF($AH$10:AH122,$AM$11:$AM$177), 0)),""))</f>
        <v/>
      </c>
      <c r="AI123" s="301" t="str">
        <f t="shared" si="15"/>
        <v/>
      </c>
      <c r="AK123" s="469" t="str">
        <f>IF('FT Fee (Franchise)'!C131="","",MAX(AK$10:AK122)+1)</f>
        <v/>
      </c>
      <c r="AL123" s="470" t="str">
        <f>IF(AND('FT Fee (Franchise)'!C131="",'FT Fee (Franchise)'!I131=""),"",'FT Fee (Franchise)'!C131)</f>
        <v/>
      </c>
      <c r="AM123" s="471" t="str">
        <f t="shared" si="20"/>
        <v/>
      </c>
    </row>
    <row r="124" spans="1:39" ht="18.75" x14ac:dyDescent="0.25">
      <c r="A124" s="71">
        <v>111</v>
      </c>
      <c r="B124" s="477" t="str">
        <f t="shared" si="16"/>
        <v/>
      </c>
      <c r="C124" s="478" t="str">
        <f t="shared" si="18"/>
        <v/>
      </c>
      <c r="D124" s="479" t="str">
        <f t="shared" si="17"/>
        <v/>
      </c>
      <c r="E124" s="413">
        <v>3</v>
      </c>
      <c r="F124" s="414">
        <v>111</v>
      </c>
      <c r="K124" s="301" t="str">
        <f>IF(ISERROR(RANK(L124,$L$23:$L$473,1)+COUNTIF($L$23:L124,L124)-1)=TRUE,"",RANK(L124,$L$23:$L$473,1)+COUNTIF($L$23:L124,L124)-1)</f>
        <v/>
      </c>
      <c r="L124" s="301" t="str">
        <f t="shared" si="21"/>
        <v/>
      </c>
      <c r="M124" s="301" t="str">
        <f>IF(AND('FT Fee'!H90="Yes"),VLOOKUP('Fee Summary'!A82,'FT Fee'!$A$22:$K$171,2,FALSE),"")</f>
        <v/>
      </c>
      <c r="N124" s="301" t="str">
        <f>IF(AND('FT Fee'!H90="Yes"),VLOOKUP('Fee Summary'!A82,'FT Fee'!$A$22:$K$171,3,FALSE),"")</f>
        <v/>
      </c>
      <c r="O124" s="301" t="str">
        <f>IF(AND('FT Fee'!H90="Yes"),VLOOKUP('Fee Summary'!A82,'FT Fee'!$A$22:$K$171,9,FALSE),"")</f>
        <v/>
      </c>
      <c r="AG124" s="301" t="str">
        <f t="shared" si="14"/>
        <v/>
      </c>
      <c r="AH124" s="457" t="str">
        <f t="array" ref="AH124">IF(IFERROR(INDEX($AM$11:$AM$177, MATCH(0,COUNTIF($AH$10:AH123,$AM$11:$AM$177), 0)),"")=0,"",IFERROR(INDEX($AM$11:$AM$177, MATCH(0,COUNTIF($AH$10:AH123,$AM$11:$AM$177), 0)),""))</f>
        <v/>
      </c>
      <c r="AI124" s="301" t="str">
        <f t="shared" si="15"/>
        <v/>
      </c>
      <c r="AK124" s="469" t="str">
        <f>IF('FT Fee (Franchise)'!C132="","",MAX(AK$10:AK123)+1)</f>
        <v/>
      </c>
      <c r="AL124" s="470" t="str">
        <f>IF(AND('FT Fee (Franchise)'!C132="",'FT Fee (Franchise)'!I132=""),"",'FT Fee (Franchise)'!C132)</f>
        <v/>
      </c>
      <c r="AM124" s="471" t="str">
        <f t="shared" si="20"/>
        <v/>
      </c>
    </row>
    <row r="125" spans="1:39" ht="18.75" x14ac:dyDescent="0.25">
      <c r="A125" s="71">
        <v>112</v>
      </c>
      <c r="B125" s="477" t="str">
        <f t="shared" si="16"/>
        <v/>
      </c>
      <c r="C125" s="478" t="str">
        <f t="shared" si="18"/>
        <v/>
      </c>
      <c r="D125" s="479" t="str">
        <f t="shared" si="17"/>
        <v/>
      </c>
      <c r="E125" s="413">
        <v>3</v>
      </c>
      <c r="F125" s="414">
        <v>112</v>
      </c>
      <c r="K125" s="301" t="str">
        <f>IF(ISERROR(RANK(L125,$L$23:$L$473,1)+COUNTIF($L$23:L125,L125)-1)=TRUE,"",RANK(L125,$L$23:$L$473,1)+COUNTIF($L$23:L125,L125)-1)</f>
        <v/>
      </c>
      <c r="L125" s="301" t="str">
        <f t="shared" si="21"/>
        <v/>
      </c>
      <c r="M125" s="301" t="str">
        <f>IF(AND('FT Fee'!H91="Yes"),VLOOKUP('Fee Summary'!A83,'FT Fee'!$A$22:$K$171,2,FALSE),"")</f>
        <v/>
      </c>
      <c r="N125" s="301" t="str">
        <f>IF(AND('FT Fee'!H91="Yes"),VLOOKUP('Fee Summary'!A83,'FT Fee'!$A$22:$K$171,3,FALSE),"")</f>
        <v/>
      </c>
      <c r="O125" s="301" t="str">
        <f>IF(AND('FT Fee'!H91="Yes"),VLOOKUP('Fee Summary'!A83,'FT Fee'!$A$22:$K$171,9,FALSE),"")</f>
        <v/>
      </c>
      <c r="AG125" s="301" t="str">
        <f t="shared" si="14"/>
        <v/>
      </c>
      <c r="AH125" s="457" t="str">
        <f t="array" ref="AH125">IF(IFERROR(INDEX($AM$11:$AM$177, MATCH(0,COUNTIF($AH$10:AH124,$AM$11:$AM$177), 0)),"")=0,"",IFERROR(INDEX($AM$11:$AM$177, MATCH(0,COUNTIF($AH$10:AH124,$AM$11:$AM$177), 0)),""))</f>
        <v/>
      </c>
      <c r="AI125" s="301" t="str">
        <f t="shared" si="15"/>
        <v/>
      </c>
      <c r="AK125" s="469" t="str">
        <f>IF('FT Fee (Franchise)'!C133="","",MAX(AK$10:AK124)+1)</f>
        <v/>
      </c>
      <c r="AL125" s="470" t="str">
        <f>IF(AND('FT Fee (Franchise)'!C133="",'FT Fee (Franchise)'!I133=""),"",'FT Fee (Franchise)'!C133)</f>
        <v/>
      </c>
      <c r="AM125" s="471" t="str">
        <f t="shared" si="20"/>
        <v/>
      </c>
    </row>
    <row r="126" spans="1:39" ht="18.75" x14ac:dyDescent="0.25">
      <c r="A126" s="70">
        <v>113</v>
      </c>
      <c r="B126" s="477" t="str">
        <f t="shared" si="16"/>
        <v/>
      </c>
      <c r="C126" s="478" t="str">
        <f t="shared" si="18"/>
        <v/>
      </c>
      <c r="D126" s="479" t="str">
        <f t="shared" si="17"/>
        <v/>
      </c>
      <c r="E126" s="413">
        <v>3</v>
      </c>
      <c r="F126" s="414">
        <v>113</v>
      </c>
      <c r="K126" s="301" t="str">
        <f>IF(ISERROR(RANK(L126,$L$23:$L$473,1)+COUNTIF($L$23:L126,L126)-1)=TRUE,"",RANK(L126,$L$23:$L$473,1)+COUNTIF($L$23:L126,L126)-1)</f>
        <v/>
      </c>
      <c r="L126" s="301" t="str">
        <f t="shared" si="21"/>
        <v/>
      </c>
      <c r="M126" s="301" t="str">
        <f>IF(AND('FT Fee'!H92="Yes"),VLOOKUP('Fee Summary'!A84,'FT Fee'!$A$22:$K$171,2,FALSE),"")</f>
        <v/>
      </c>
      <c r="N126" s="301" t="str">
        <f>IF(AND('FT Fee'!H92="Yes"),VLOOKUP('Fee Summary'!A84,'FT Fee'!$A$22:$K$171,3,FALSE),"")</f>
        <v/>
      </c>
      <c r="O126" s="301" t="str">
        <f>IF(AND('FT Fee'!H92="Yes"),VLOOKUP('Fee Summary'!A84,'FT Fee'!$A$22:$K$171,9,FALSE),"")</f>
        <v/>
      </c>
      <c r="AG126" s="301" t="str">
        <f t="shared" si="14"/>
        <v/>
      </c>
      <c r="AH126" s="457" t="str">
        <f t="array" ref="AH126">IF(IFERROR(INDEX($AM$11:$AM$177, MATCH(0,COUNTIF($AH$10:AH125,$AM$11:$AM$177), 0)),"")=0,"",IFERROR(INDEX($AM$11:$AM$177, MATCH(0,COUNTIF($AH$10:AH125,$AM$11:$AM$177), 0)),""))</f>
        <v/>
      </c>
      <c r="AI126" s="301" t="str">
        <f t="shared" si="15"/>
        <v/>
      </c>
      <c r="AK126" s="469" t="str">
        <f>IF('FT Fee (Franchise)'!C134="","",MAX(AK$10:AK125)+1)</f>
        <v/>
      </c>
      <c r="AL126" s="470" t="str">
        <f>IF(AND('FT Fee (Franchise)'!C134="",'FT Fee (Franchise)'!I134=""),"",'FT Fee (Franchise)'!C134)</f>
        <v/>
      </c>
      <c r="AM126" s="471" t="str">
        <f t="shared" si="20"/>
        <v/>
      </c>
    </row>
    <row r="127" spans="1:39" ht="18.75" x14ac:dyDescent="0.25">
      <c r="A127" s="71">
        <v>114</v>
      </c>
      <c r="B127" s="477" t="str">
        <f t="shared" si="16"/>
        <v/>
      </c>
      <c r="C127" s="478" t="str">
        <f t="shared" si="18"/>
        <v/>
      </c>
      <c r="D127" s="479" t="str">
        <f t="shared" si="17"/>
        <v/>
      </c>
      <c r="E127" s="413">
        <v>3</v>
      </c>
      <c r="F127" s="414">
        <v>114</v>
      </c>
      <c r="K127" s="301" t="str">
        <f>IF(ISERROR(RANK(L127,$L$23:$L$473,1)+COUNTIF($L$23:L127,L127)-1)=TRUE,"",RANK(L127,$L$23:$L$473,1)+COUNTIF($L$23:L127,L127)-1)</f>
        <v/>
      </c>
      <c r="L127" s="301" t="str">
        <f t="shared" si="21"/>
        <v/>
      </c>
      <c r="M127" s="301" t="str">
        <f>IF(AND('FT Fee'!H93="Yes"),VLOOKUP('Fee Summary'!A85,'FT Fee'!$A$22:$K$171,2,FALSE),"")</f>
        <v/>
      </c>
      <c r="N127" s="301" t="str">
        <f>IF(AND('FT Fee'!H93="Yes"),VLOOKUP('Fee Summary'!A85,'FT Fee'!$A$22:$K$171,3,FALSE),"")</f>
        <v/>
      </c>
      <c r="O127" s="301" t="str">
        <f>IF(AND('FT Fee'!H93="Yes"),VLOOKUP('Fee Summary'!A85,'FT Fee'!$A$22:$K$171,9,FALSE),"")</f>
        <v/>
      </c>
      <c r="AG127" s="301" t="str">
        <f t="shared" si="14"/>
        <v/>
      </c>
      <c r="AH127" s="457" t="str">
        <f t="array" ref="AH127">IF(IFERROR(INDEX($AM$11:$AM$177, MATCH(0,COUNTIF($AH$10:AH126,$AM$11:$AM$177), 0)),"")=0,"",IFERROR(INDEX($AM$11:$AM$177, MATCH(0,COUNTIF($AH$10:AH126,$AM$11:$AM$177), 0)),""))</f>
        <v/>
      </c>
      <c r="AI127" s="301" t="str">
        <f t="shared" si="15"/>
        <v/>
      </c>
      <c r="AK127" s="469" t="str">
        <f>IF('FT Fee (Franchise)'!C135="","",MAX(AK$10:AK126)+1)</f>
        <v/>
      </c>
      <c r="AL127" s="470" t="str">
        <f>IF(AND('FT Fee (Franchise)'!C135="",'FT Fee (Franchise)'!I135=""),"",'FT Fee (Franchise)'!C135)</f>
        <v/>
      </c>
      <c r="AM127" s="471" t="str">
        <f t="shared" si="20"/>
        <v/>
      </c>
    </row>
    <row r="128" spans="1:39" ht="18.75" x14ac:dyDescent="0.25">
      <c r="A128" s="71">
        <v>115</v>
      </c>
      <c r="B128" s="477" t="str">
        <f t="shared" si="16"/>
        <v/>
      </c>
      <c r="C128" s="478" t="str">
        <f t="shared" si="18"/>
        <v/>
      </c>
      <c r="D128" s="479" t="str">
        <f t="shared" si="17"/>
        <v/>
      </c>
      <c r="E128" s="413">
        <v>3</v>
      </c>
      <c r="F128" s="414">
        <v>115</v>
      </c>
      <c r="K128" s="301" t="str">
        <f>IF(ISERROR(RANK(L128,$L$23:$L$473,1)+COUNTIF($L$23:L128,L128)-1)=TRUE,"",RANK(L128,$L$23:$L$473,1)+COUNTIF($L$23:L128,L128)-1)</f>
        <v/>
      </c>
      <c r="L128" s="301" t="str">
        <f t="shared" si="21"/>
        <v/>
      </c>
      <c r="M128" s="301" t="str">
        <f>IF(AND('FT Fee'!H94="Yes"),VLOOKUP('Fee Summary'!A86,'FT Fee'!$A$22:$K$171,2,FALSE),"")</f>
        <v/>
      </c>
      <c r="N128" s="301" t="str">
        <f>IF(AND('FT Fee'!H94="Yes"),VLOOKUP('Fee Summary'!A86,'FT Fee'!$A$22:$K$171,3,FALSE),"")</f>
        <v/>
      </c>
      <c r="O128" s="301" t="str">
        <f>IF(AND('FT Fee'!H94="Yes"),VLOOKUP('Fee Summary'!A86,'FT Fee'!$A$22:$K$171,9,FALSE),"")</f>
        <v/>
      </c>
      <c r="AG128" s="301" t="str">
        <f t="shared" si="14"/>
        <v/>
      </c>
      <c r="AH128" s="457" t="str">
        <f t="array" ref="AH128">IF(IFERROR(INDEX($AM$11:$AM$177, MATCH(0,COUNTIF($AH$10:AH127,$AM$11:$AM$177), 0)),"")=0,"",IFERROR(INDEX($AM$11:$AM$177, MATCH(0,COUNTIF($AH$10:AH127,$AM$11:$AM$177), 0)),""))</f>
        <v/>
      </c>
      <c r="AI128" s="301" t="str">
        <f t="shared" si="15"/>
        <v/>
      </c>
      <c r="AK128" s="469" t="str">
        <f>IF('FT Fee (Franchise)'!C136="","",MAX(AK$10:AK127)+1)</f>
        <v/>
      </c>
      <c r="AL128" s="470" t="str">
        <f>IF(AND('FT Fee (Franchise)'!C136="",'FT Fee (Franchise)'!I136=""),"",'FT Fee (Franchise)'!C136)</f>
        <v/>
      </c>
      <c r="AM128" s="471" t="str">
        <f t="shared" si="20"/>
        <v/>
      </c>
    </row>
    <row r="129" spans="1:39" ht="18.75" x14ac:dyDescent="0.25">
      <c r="A129" s="71">
        <v>116</v>
      </c>
      <c r="B129" s="477" t="str">
        <f t="shared" si="16"/>
        <v/>
      </c>
      <c r="C129" s="478" t="str">
        <f t="shared" si="18"/>
        <v/>
      </c>
      <c r="D129" s="479" t="str">
        <f t="shared" si="17"/>
        <v/>
      </c>
      <c r="E129" s="413">
        <v>3</v>
      </c>
      <c r="F129" s="414">
        <v>116</v>
      </c>
      <c r="K129" s="301" t="str">
        <f>IF(ISERROR(RANK(L129,$L$23:$L$473,1)+COUNTIF($L$23:L129,L129)-1)=TRUE,"",RANK(L129,$L$23:$L$473,1)+COUNTIF($L$23:L129,L129)-1)</f>
        <v/>
      </c>
      <c r="L129" s="301" t="str">
        <f t="shared" si="21"/>
        <v/>
      </c>
      <c r="M129" s="301" t="str">
        <f>IF(AND('FT Fee'!H95="Yes"),VLOOKUP('Fee Summary'!A87,'FT Fee'!$A$22:$K$171,2,FALSE),"")</f>
        <v/>
      </c>
      <c r="N129" s="301" t="str">
        <f>IF(AND('FT Fee'!H95="Yes"),VLOOKUP('Fee Summary'!A87,'FT Fee'!$A$22:$K$171,3,FALSE),"")</f>
        <v/>
      </c>
      <c r="O129" s="301" t="str">
        <f>IF(AND('FT Fee'!H95="Yes"),VLOOKUP('Fee Summary'!A87,'FT Fee'!$A$22:$K$171,9,FALSE),"")</f>
        <v/>
      </c>
      <c r="AG129" s="301" t="str">
        <f t="shared" si="14"/>
        <v/>
      </c>
      <c r="AH129" s="457" t="str">
        <f t="array" ref="AH129">IF(IFERROR(INDEX($AM$11:$AM$177, MATCH(0,COUNTIF($AH$10:AH128,$AM$11:$AM$177), 0)),"")=0,"",IFERROR(INDEX($AM$11:$AM$177, MATCH(0,COUNTIF($AH$10:AH128,$AM$11:$AM$177), 0)),""))</f>
        <v/>
      </c>
      <c r="AI129" s="301" t="str">
        <f t="shared" si="15"/>
        <v/>
      </c>
      <c r="AK129" s="469" t="str">
        <f>IF('FT Fee (Franchise)'!C137="","",MAX(AK$10:AK128)+1)</f>
        <v/>
      </c>
      <c r="AL129" s="470" t="str">
        <f>IF(AND('FT Fee (Franchise)'!C137="",'FT Fee (Franchise)'!I137=""),"",'FT Fee (Franchise)'!C137)</f>
        <v/>
      </c>
      <c r="AM129" s="471" t="str">
        <f t="shared" si="20"/>
        <v/>
      </c>
    </row>
    <row r="130" spans="1:39" ht="18.75" x14ac:dyDescent="0.25">
      <c r="A130" s="70">
        <v>117</v>
      </c>
      <c r="B130" s="477" t="str">
        <f t="shared" si="16"/>
        <v/>
      </c>
      <c r="C130" s="478" t="str">
        <f t="shared" si="18"/>
        <v/>
      </c>
      <c r="D130" s="479" t="str">
        <f t="shared" si="17"/>
        <v/>
      </c>
      <c r="E130" s="413">
        <v>3</v>
      </c>
      <c r="F130" s="414">
        <v>117</v>
      </c>
      <c r="K130" s="301" t="str">
        <f>IF(ISERROR(RANK(L130,$L$23:$L$473,1)+COUNTIF($L$23:L130,L130)-1)=TRUE,"",RANK(L130,$L$23:$L$473,1)+COUNTIF($L$23:L130,L130)-1)</f>
        <v/>
      </c>
      <c r="L130" s="301" t="str">
        <f t="shared" si="21"/>
        <v/>
      </c>
      <c r="M130" s="301" t="str">
        <f>IF(AND('FT Fee'!H96="Yes"),VLOOKUP('Fee Summary'!A88,'FT Fee'!$A$22:$K$171,2,FALSE),"")</f>
        <v/>
      </c>
      <c r="N130" s="301" t="str">
        <f>IF(AND('FT Fee'!H96="Yes"),VLOOKUP('Fee Summary'!A88,'FT Fee'!$A$22:$K$171,3,FALSE),"")</f>
        <v/>
      </c>
      <c r="O130" s="301" t="str">
        <f>IF(AND('FT Fee'!H96="Yes"),VLOOKUP('Fee Summary'!A88,'FT Fee'!$A$22:$K$171,9,FALSE),"")</f>
        <v/>
      </c>
      <c r="AG130" s="301" t="str">
        <f t="shared" si="14"/>
        <v/>
      </c>
      <c r="AH130" s="457" t="str">
        <f t="array" ref="AH130">IF(IFERROR(INDEX($AM$11:$AM$177, MATCH(0,COUNTIF($AH$10:AH129,$AM$11:$AM$177), 0)),"")=0,"",IFERROR(INDEX($AM$11:$AM$177, MATCH(0,COUNTIF($AH$10:AH129,$AM$11:$AM$177), 0)),""))</f>
        <v/>
      </c>
      <c r="AI130" s="301" t="str">
        <f t="shared" si="15"/>
        <v/>
      </c>
      <c r="AK130" s="469" t="str">
        <f>IF('FT Fee (Franchise)'!C138="","",MAX(AK$10:AK129)+1)</f>
        <v/>
      </c>
      <c r="AL130" s="470" t="str">
        <f>IF(AND('FT Fee (Franchise)'!C138="",'FT Fee (Franchise)'!I138=""),"",'FT Fee (Franchise)'!C138)</f>
        <v/>
      </c>
      <c r="AM130" s="471" t="str">
        <f t="shared" si="20"/>
        <v/>
      </c>
    </row>
    <row r="131" spans="1:39" ht="18.75" x14ac:dyDescent="0.25">
      <c r="A131" s="71">
        <v>118</v>
      </c>
      <c r="B131" s="477" t="str">
        <f t="shared" si="16"/>
        <v/>
      </c>
      <c r="C131" s="478" t="str">
        <f t="shared" si="18"/>
        <v/>
      </c>
      <c r="D131" s="479" t="str">
        <f t="shared" si="17"/>
        <v/>
      </c>
      <c r="E131" s="413">
        <v>3</v>
      </c>
      <c r="F131" s="414">
        <v>118</v>
      </c>
      <c r="K131" s="301" t="str">
        <f>IF(ISERROR(RANK(L131,$L$23:$L$473,1)+COUNTIF($L$23:L131,L131)-1)=TRUE,"",RANK(L131,$L$23:$L$473,1)+COUNTIF($L$23:L131,L131)-1)</f>
        <v/>
      </c>
      <c r="L131" s="301" t="str">
        <f t="shared" si="21"/>
        <v/>
      </c>
      <c r="M131" s="301" t="str">
        <f>IF(AND('FT Fee'!H97="Yes"),VLOOKUP('Fee Summary'!A89,'FT Fee'!$A$22:$K$171,2,FALSE),"")</f>
        <v/>
      </c>
      <c r="N131" s="301" t="str">
        <f>IF(AND('FT Fee'!H97="Yes"),VLOOKUP('Fee Summary'!A89,'FT Fee'!$A$22:$K$171,3,FALSE),"")</f>
        <v/>
      </c>
      <c r="O131" s="301" t="str">
        <f>IF(AND('FT Fee'!H97="Yes"),VLOOKUP('Fee Summary'!A89,'FT Fee'!$A$22:$K$171,9,FALSE),"")</f>
        <v/>
      </c>
      <c r="AG131" s="301" t="str">
        <f t="shared" si="14"/>
        <v/>
      </c>
      <c r="AH131" s="457" t="str">
        <f t="array" ref="AH131">IF(IFERROR(INDEX($AM$11:$AM$177, MATCH(0,COUNTIF($AH$10:AH130,$AM$11:$AM$177), 0)),"")=0,"",IFERROR(INDEX($AM$11:$AM$177, MATCH(0,COUNTIF($AH$10:AH130,$AM$11:$AM$177), 0)),""))</f>
        <v/>
      </c>
      <c r="AI131" s="301" t="str">
        <f t="shared" si="15"/>
        <v/>
      </c>
      <c r="AK131" s="469" t="str">
        <f>IF('FT Fee (Franchise)'!C139="","",MAX(AK$10:AK130)+1)</f>
        <v/>
      </c>
      <c r="AL131" s="470" t="str">
        <f>IF(AND('FT Fee (Franchise)'!C139="",'FT Fee (Franchise)'!I139=""),"",'FT Fee (Franchise)'!C139)</f>
        <v/>
      </c>
      <c r="AM131" s="471" t="str">
        <f t="shared" si="20"/>
        <v/>
      </c>
    </row>
    <row r="132" spans="1:39" ht="18.75" x14ac:dyDescent="0.25">
      <c r="A132" s="71">
        <v>119</v>
      </c>
      <c r="B132" s="477" t="str">
        <f t="shared" si="16"/>
        <v/>
      </c>
      <c r="C132" s="478" t="str">
        <f t="shared" si="18"/>
        <v/>
      </c>
      <c r="D132" s="479" t="str">
        <f t="shared" si="17"/>
        <v/>
      </c>
      <c r="E132" s="413">
        <v>3</v>
      </c>
      <c r="F132" s="414">
        <v>119</v>
      </c>
      <c r="K132" s="301" t="str">
        <f>IF(ISERROR(RANK(L132,$L$23:$L$473,1)+COUNTIF($L$23:L132,L132)-1)=TRUE,"",RANK(L132,$L$23:$L$473,1)+COUNTIF($L$23:L132,L132)-1)</f>
        <v/>
      </c>
      <c r="L132" s="301" t="str">
        <f t="shared" si="21"/>
        <v/>
      </c>
      <c r="M132" s="301" t="str">
        <f>IF(AND('FT Fee'!H98="Yes"),VLOOKUP('Fee Summary'!A90,'FT Fee'!$A$22:$K$171,2,FALSE),"")</f>
        <v/>
      </c>
      <c r="N132" s="301" t="str">
        <f>IF(AND('FT Fee'!H98="Yes"),VLOOKUP('Fee Summary'!A90,'FT Fee'!$A$22:$K$171,3,FALSE),"")</f>
        <v/>
      </c>
      <c r="O132" s="301" t="str">
        <f>IF(AND('FT Fee'!H98="Yes"),VLOOKUP('Fee Summary'!A90,'FT Fee'!$A$22:$K$171,9,FALSE),"")</f>
        <v/>
      </c>
      <c r="AG132" s="301" t="str">
        <f t="shared" si="14"/>
        <v/>
      </c>
      <c r="AH132" s="457" t="str">
        <f t="array" ref="AH132">IF(IFERROR(INDEX($AM$11:$AM$177, MATCH(0,COUNTIF($AH$10:AH131,$AM$11:$AM$177), 0)),"")=0,"",IFERROR(INDEX($AM$11:$AM$177, MATCH(0,COUNTIF($AH$10:AH131,$AM$11:$AM$177), 0)),""))</f>
        <v/>
      </c>
      <c r="AI132" s="301" t="str">
        <f t="shared" si="15"/>
        <v/>
      </c>
      <c r="AK132" s="469" t="str">
        <f>IF('FT Fee (Franchise)'!C140="","",MAX(AK$10:AK131)+1)</f>
        <v/>
      </c>
      <c r="AL132" s="470" t="str">
        <f>IF(AND('FT Fee (Franchise)'!C140="",'FT Fee (Franchise)'!I140=""),"",'FT Fee (Franchise)'!C140)</f>
        <v/>
      </c>
      <c r="AM132" s="471" t="str">
        <f t="shared" si="20"/>
        <v/>
      </c>
    </row>
    <row r="133" spans="1:39" ht="18.75" x14ac:dyDescent="0.25">
      <c r="A133" s="71">
        <v>120</v>
      </c>
      <c r="B133" s="477" t="str">
        <f t="shared" si="16"/>
        <v/>
      </c>
      <c r="C133" s="478" t="str">
        <f t="shared" si="18"/>
        <v/>
      </c>
      <c r="D133" s="479" t="str">
        <f t="shared" si="17"/>
        <v/>
      </c>
      <c r="E133" s="413">
        <v>3</v>
      </c>
      <c r="F133" s="414">
        <v>120</v>
      </c>
      <c r="K133" s="301" t="str">
        <f>IF(ISERROR(RANK(L133,$L$23:$L$473,1)+COUNTIF($L$23:L133,L133)-1)=TRUE,"",RANK(L133,$L$23:$L$473,1)+COUNTIF($L$23:L133,L133)-1)</f>
        <v/>
      </c>
      <c r="L133" s="301" t="str">
        <f t="shared" si="21"/>
        <v/>
      </c>
      <c r="M133" s="301" t="str">
        <f>IF(AND('FT Fee'!H99="Yes"),VLOOKUP('Fee Summary'!A91,'FT Fee'!$A$22:$K$171,2,FALSE),"")</f>
        <v/>
      </c>
      <c r="N133" s="301" t="str">
        <f>IF(AND('FT Fee'!H99="Yes"),VLOOKUP('Fee Summary'!A91,'FT Fee'!$A$22:$K$171,3,FALSE),"")</f>
        <v/>
      </c>
      <c r="O133" s="301" t="str">
        <f>IF(AND('FT Fee'!H99="Yes"),VLOOKUP('Fee Summary'!A91,'FT Fee'!$A$22:$K$171,9,FALSE),"")</f>
        <v/>
      </c>
      <c r="AG133" s="301" t="str">
        <f t="shared" si="14"/>
        <v/>
      </c>
      <c r="AH133" s="457" t="str">
        <f t="array" ref="AH133">IF(IFERROR(INDEX($AM$11:$AM$177, MATCH(0,COUNTIF($AH$10:AH132,$AM$11:$AM$177), 0)),"")=0,"",IFERROR(INDEX($AM$11:$AM$177, MATCH(0,COUNTIF($AH$10:AH132,$AM$11:$AM$177), 0)),""))</f>
        <v/>
      </c>
      <c r="AI133" s="301" t="str">
        <f t="shared" si="15"/>
        <v/>
      </c>
      <c r="AK133" s="469" t="str">
        <f>IF('FT Fee (Franchise)'!C141="","",MAX(AK$10:AK132)+1)</f>
        <v/>
      </c>
      <c r="AL133" s="470" t="str">
        <f>IF(AND('FT Fee (Franchise)'!C141="",'FT Fee (Franchise)'!I141=""),"",'FT Fee (Franchise)'!C141)</f>
        <v/>
      </c>
      <c r="AM133" s="471" t="str">
        <f t="shared" si="20"/>
        <v/>
      </c>
    </row>
    <row r="134" spans="1:39" ht="18.75" x14ac:dyDescent="0.25">
      <c r="A134" s="70">
        <v>121</v>
      </c>
      <c r="B134" s="477" t="str">
        <f t="shared" si="16"/>
        <v/>
      </c>
      <c r="C134" s="478" t="str">
        <f t="shared" si="18"/>
        <v/>
      </c>
      <c r="D134" s="479" t="str">
        <f t="shared" si="17"/>
        <v/>
      </c>
      <c r="E134" s="413">
        <v>3</v>
      </c>
      <c r="F134" s="414">
        <v>121</v>
      </c>
      <c r="K134" s="301" t="str">
        <f>IF(ISERROR(RANK(L134,$L$23:$L$473,1)+COUNTIF($L$23:L134,L134)-1)=TRUE,"",RANK(L134,$L$23:$L$473,1)+COUNTIF($L$23:L134,L134)-1)</f>
        <v/>
      </c>
      <c r="L134" s="301" t="str">
        <f t="shared" si="21"/>
        <v/>
      </c>
      <c r="M134" s="301" t="str">
        <f>IF(AND('FT Fee'!H100="Yes"),VLOOKUP('Fee Summary'!A92,'FT Fee'!$A$22:$K$171,2,FALSE),"")</f>
        <v/>
      </c>
      <c r="N134" s="301" t="str">
        <f>IF(AND('FT Fee'!H100="Yes"),VLOOKUP('Fee Summary'!A92,'FT Fee'!$A$22:$K$171,3,FALSE),"")</f>
        <v/>
      </c>
      <c r="O134" s="301" t="str">
        <f>IF(AND('FT Fee'!H100="Yes"),VLOOKUP('Fee Summary'!A92,'FT Fee'!$A$22:$K$171,9,FALSE),"")</f>
        <v/>
      </c>
      <c r="AG134" s="301" t="str">
        <f t="shared" si="14"/>
        <v/>
      </c>
      <c r="AH134" s="457" t="str">
        <f t="array" ref="AH134">IF(IFERROR(INDEX($AM$11:$AM$177, MATCH(0,COUNTIF($AH$10:AH133,$AM$11:$AM$177), 0)),"")=0,"",IFERROR(INDEX($AM$11:$AM$177, MATCH(0,COUNTIF($AH$10:AH133,$AM$11:$AM$177), 0)),""))</f>
        <v/>
      </c>
      <c r="AI134" s="301" t="str">
        <f t="shared" si="15"/>
        <v/>
      </c>
      <c r="AK134" s="469" t="str">
        <f>IF('FT Fee (Franchise)'!C142="","",MAX(AK$10:AK133)+1)</f>
        <v/>
      </c>
      <c r="AL134" s="470" t="str">
        <f>IF(AND('FT Fee (Franchise)'!C142="",'FT Fee (Franchise)'!I142=""),"",'FT Fee (Franchise)'!C142)</f>
        <v/>
      </c>
      <c r="AM134" s="471" t="str">
        <f t="shared" si="20"/>
        <v/>
      </c>
    </row>
    <row r="135" spans="1:39" ht="18.75" x14ac:dyDescent="0.25">
      <c r="A135" s="71">
        <v>122</v>
      </c>
      <c r="B135" s="477" t="str">
        <f t="shared" si="16"/>
        <v/>
      </c>
      <c r="C135" s="478" t="str">
        <f t="shared" si="18"/>
        <v/>
      </c>
      <c r="D135" s="479" t="str">
        <f t="shared" si="17"/>
        <v/>
      </c>
      <c r="E135" s="413">
        <v>3</v>
      </c>
      <c r="F135" s="414">
        <v>122</v>
      </c>
      <c r="K135" s="301" t="str">
        <f>IF(ISERROR(RANK(L135,$L$23:$L$473,1)+COUNTIF($L$23:L135,L135)-1)=TRUE,"",RANK(L135,$L$23:$L$473,1)+COUNTIF($L$23:L135,L135)-1)</f>
        <v/>
      </c>
      <c r="L135" s="301" t="str">
        <f t="shared" si="21"/>
        <v/>
      </c>
      <c r="M135" s="301" t="str">
        <f>IF(AND('FT Fee'!H101="Yes"),VLOOKUP('Fee Summary'!A93,'FT Fee'!$A$22:$K$171,2,FALSE),"")</f>
        <v/>
      </c>
      <c r="N135" s="301" t="str">
        <f>IF(AND('FT Fee'!H101="Yes"),VLOOKUP('Fee Summary'!A93,'FT Fee'!$A$22:$K$171,3,FALSE),"")</f>
        <v/>
      </c>
      <c r="O135" s="301" t="str">
        <f>IF(AND('FT Fee'!H101="Yes"),VLOOKUP('Fee Summary'!A93,'FT Fee'!$A$22:$K$171,9,FALSE),"")</f>
        <v/>
      </c>
      <c r="AG135" s="301" t="str">
        <f t="shared" si="14"/>
        <v/>
      </c>
      <c r="AH135" s="457" t="str">
        <f t="array" ref="AH135">IF(IFERROR(INDEX($AM$11:$AM$177, MATCH(0,COUNTIF($AH$10:AH134,$AM$11:$AM$177), 0)),"")=0,"",IFERROR(INDEX($AM$11:$AM$177, MATCH(0,COUNTIF($AH$10:AH134,$AM$11:$AM$177), 0)),""))</f>
        <v/>
      </c>
      <c r="AI135" s="301" t="str">
        <f t="shared" si="15"/>
        <v/>
      </c>
      <c r="AK135" s="469" t="str">
        <f>IF('FT Fee (Franchise)'!C143="","",MAX(AK$10:AK134)+1)</f>
        <v/>
      </c>
      <c r="AL135" s="470" t="str">
        <f>IF(AND('FT Fee (Franchise)'!C143="",'FT Fee (Franchise)'!I143=""),"",'FT Fee (Franchise)'!C143)</f>
        <v/>
      </c>
      <c r="AM135" s="471" t="str">
        <f t="shared" si="20"/>
        <v/>
      </c>
    </row>
    <row r="136" spans="1:39" ht="18.75" x14ac:dyDescent="0.25">
      <c r="A136" s="71">
        <v>123</v>
      </c>
      <c r="B136" s="477" t="str">
        <f t="shared" si="16"/>
        <v/>
      </c>
      <c r="C136" s="478" t="str">
        <f t="shared" si="18"/>
        <v/>
      </c>
      <c r="D136" s="479" t="str">
        <f t="shared" si="17"/>
        <v/>
      </c>
      <c r="E136" s="413">
        <v>3</v>
      </c>
      <c r="F136" s="414">
        <v>123</v>
      </c>
      <c r="K136" s="301" t="str">
        <f>IF(ISERROR(RANK(L136,$L$23:$L$473,1)+COUNTIF($L$23:L136,L136)-1)=TRUE,"",RANK(L136,$L$23:$L$473,1)+COUNTIF($L$23:L136,L136)-1)</f>
        <v/>
      </c>
      <c r="L136" s="301" t="str">
        <f t="shared" si="21"/>
        <v/>
      </c>
      <c r="M136" s="301" t="str">
        <f>IF(AND('FT Fee'!H102="Yes"),VLOOKUP('Fee Summary'!A94,'FT Fee'!$A$22:$K$171,2,FALSE),"")</f>
        <v/>
      </c>
      <c r="N136" s="301" t="str">
        <f>IF(AND('FT Fee'!H102="Yes"),VLOOKUP('Fee Summary'!A94,'FT Fee'!$A$22:$K$171,3,FALSE),"")</f>
        <v/>
      </c>
      <c r="O136" s="301" t="str">
        <f>IF(AND('FT Fee'!H102="Yes"),VLOOKUP('Fee Summary'!A94,'FT Fee'!$A$22:$K$171,9,FALSE),"")</f>
        <v/>
      </c>
      <c r="AG136" s="301" t="str">
        <f t="shared" si="14"/>
        <v/>
      </c>
      <c r="AH136" s="457" t="str">
        <f t="array" ref="AH136">IF(IFERROR(INDEX($AM$11:$AM$177, MATCH(0,COUNTIF($AH$10:AH135,$AM$11:$AM$177), 0)),"")=0,"",IFERROR(INDEX($AM$11:$AM$177, MATCH(0,COUNTIF($AH$10:AH135,$AM$11:$AM$177), 0)),""))</f>
        <v/>
      </c>
      <c r="AI136" s="301" t="str">
        <f t="shared" si="15"/>
        <v/>
      </c>
      <c r="AK136" s="469" t="str">
        <f>IF('FT Fee (Franchise)'!C144="","",MAX(AK$10:AK135)+1)</f>
        <v/>
      </c>
      <c r="AL136" s="470" t="str">
        <f>IF(AND('FT Fee (Franchise)'!C144="",'FT Fee (Franchise)'!I144=""),"",'FT Fee (Franchise)'!C144)</f>
        <v/>
      </c>
      <c r="AM136" s="471" t="str">
        <f t="shared" si="20"/>
        <v/>
      </c>
    </row>
    <row r="137" spans="1:39" ht="18.75" x14ac:dyDescent="0.25">
      <c r="A137" s="71">
        <v>124</v>
      </c>
      <c r="B137" s="477" t="str">
        <f t="shared" si="16"/>
        <v/>
      </c>
      <c r="C137" s="478" t="str">
        <f t="shared" si="18"/>
        <v/>
      </c>
      <c r="D137" s="479" t="str">
        <f t="shared" si="17"/>
        <v/>
      </c>
      <c r="E137" s="413">
        <v>3</v>
      </c>
      <c r="F137" s="414">
        <v>124</v>
      </c>
      <c r="K137" s="301" t="str">
        <f>IF(ISERROR(RANK(L137,$L$23:$L$473,1)+COUNTIF($L$23:L137,L137)-1)=TRUE,"",RANK(L137,$L$23:$L$473,1)+COUNTIF($L$23:L137,L137)-1)</f>
        <v/>
      </c>
      <c r="L137" s="301" t="str">
        <f t="shared" si="21"/>
        <v/>
      </c>
      <c r="M137" s="301" t="str">
        <f>IF(AND('FT Fee'!H103="Yes"),VLOOKUP('Fee Summary'!A95,'FT Fee'!$A$22:$K$171,2,FALSE),"")</f>
        <v/>
      </c>
      <c r="N137" s="301" t="str">
        <f>IF(AND('FT Fee'!H103="Yes"),VLOOKUP('Fee Summary'!A95,'FT Fee'!$A$22:$K$171,3,FALSE),"")</f>
        <v/>
      </c>
      <c r="O137" s="301" t="str">
        <f>IF(AND('FT Fee'!H103="Yes"),VLOOKUP('Fee Summary'!A95,'FT Fee'!$A$22:$K$171,9,FALSE),"")</f>
        <v/>
      </c>
      <c r="AG137" s="301" t="str">
        <f t="shared" si="14"/>
        <v/>
      </c>
      <c r="AH137" s="457" t="str">
        <f t="array" ref="AH137">IF(IFERROR(INDEX($AM$11:$AM$177, MATCH(0,COUNTIF($AH$10:AH136,$AM$11:$AM$177), 0)),"")=0,"",IFERROR(INDEX($AM$11:$AM$177, MATCH(0,COUNTIF($AH$10:AH136,$AM$11:$AM$177), 0)),""))</f>
        <v/>
      </c>
      <c r="AI137" s="301" t="str">
        <f t="shared" si="15"/>
        <v/>
      </c>
      <c r="AK137" s="469" t="str">
        <f>IF('FT Fee (Franchise)'!C145="","",MAX(AK$10:AK136)+1)</f>
        <v/>
      </c>
      <c r="AL137" s="470" t="str">
        <f>IF(AND('FT Fee (Franchise)'!C145="",'FT Fee (Franchise)'!I145=""),"",'FT Fee (Franchise)'!C145)</f>
        <v/>
      </c>
      <c r="AM137" s="471" t="str">
        <f t="shared" si="20"/>
        <v/>
      </c>
    </row>
    <row r="138" spans="1:39" ht="18.75" x14ac:dyDescent="0.25">
      <c r="A138" s="70">
        <v>125</v>
      </c>
      <c r="B138" s="477" t="str">
        <f t="shared" si="16"/>
        <v/>
      </c>
      <c r="C138" s="478" t="str">
        <f t="shared" si="18"/>
        <v/>
      </c>
      <c r="D138" s="479" t="str">
        <f t="shared" si="17"/>
        <v/>
      </c>
      <c r="E138" s="413">
        <v>3</v>
      </c>
      <c r="F138" s="414">
        <v>125</v>
      </c>
      <c r="K138" s="301" t="str">
        <f>IF(ISERROR(RANK(L138,$L$23:$L$473,1)+COUNTIF($L$23:L138,L138)-1)=TRUE,"",RANK(L138,$L$23:$L$473,1)+COUNTIF($L$23:L138,L138)-1)</f>
        <v/>
      </c>
      <c r="L138" s="301" t="str">
        <f t="shared" si="21"/>
        <v/>
      </c>
      <c r="M138" s="301" t="str">
        <f>IF(AND('FT Fee'!H104="Yes"),VLOOKUP('Fee Summary'!A96,'FT Fee'!$A$22:$K$171,2,FALSE),"")</f>
        <v/>
      </c>
      <c r="N138" s="301" t="str">
        <f>IF(AND('FT Fee'!H104="Yes"),VLOOKUP('Fee Summary'!A96,'FT Fee'!$A$22:$K$171,3,FALSE),"")</f>
        <v/>
      </c>
      <c r="O138" s="301" t="str">
        <f>IF(AND('FT Fee'!H104="Yes"),VLOOKUP('Fee Summary'!A96,'FT Fee'!$A$22:$K$171,9,FALSE),"")</f>
        <v/>
      </c>
      <c r="AG138" s="301" t="str">
        <f t="shared" si="14"/>
        <v/>
      </c>
      <c r="AH138" s="457" t="str">
        <f t="array" ref="AH138">IF(IFERROR(INDEX($AM$11:$AM$177, MATCH(0,COUNTIF($AH$10:AH137,$AM$11:$AM$177), 0)),"")=0,"",IFERROR(INDEX($AM$11:$AM$177, MATCH(0,COUNTIF($AH$10:AH137,$AM$11:$AM$177), 0)),""))</f>
        <v/>
      </c>
      <c r="AI138" s="301" t="str">
        <f t="shared" si="15"/>
        <v/>
      </c>
      <c r="AK138" s="469" t="str">
        <f>IF('FT Fee (Franchise)'!C146="","",MAX(AK$10:AK137)+1)</f>
        <v/>
      </c>
      <c r="AL138" s="470" t="str">
        <f>IF(AND('FT Fee (Franchise)'!C146="",'FT Fee (Franchise)'!I146=""),"",'FT Fee (Franchise)'!C146)</f>
        <v/>
      </c>
      <c r="AM138" s="471" t="str">
        <f t="shared" si="20"/>
        <v/>
      </c>
    </row>
    <row r="139" spans="1:39" ht="18.75" x14ac:dyDescent="0.25">
      <c r="A139" s="71">
        <v>126</v>
      </c>
      <c r="B139" s="477" t="str">
        <f t="shared" si="16"/>
        <v/>
      </c>
      <c r="C139" s="478" t="str">
        <f t="shared" si="18"/>
        <v/>
      </c>
      <c r="D139" s="479" t="str">
        <f t="shared" si="17"/>
        <v/>
      </c>
      <c r="E139" s="413">
        <v>3</v>
      </c>
      <c r="F139" s="414">
        <v>126</v>
      </c>
      <c r="K139" s="301" t="str">
        <f>IF(ISERROR(RANK(L139,$L$23:$L$473,1)+COUNTIF($L$23:L139,L139)-1)=TRUE,"",RANK(L139,$L$23:$L$473,1)+COUNTIF($L$23:L139,L139)-1)</f>
        <v/>
      </c>
      <c r="L139" s="301" t="str">
        <f t="shared" si="21"/>
        <v/>
      </c>
      <c r="M139" s="301" t="str">
        <f>IF(AND('FT Fee'!H105="Yes"),VLOOKUP('Fee Summary'!A97,'FT Fee'!$A$22:$K$171,2,FALSE),"")</f>
        <v/>
      </c>
      <c r="N139" s="301" t="str">
        <f>IF(AND('FT Fee'!H105="Yes"),VLOOKUP('Fee Summary'!A97,'FT Fee'!$A$22:$K$171,3,FALSE),"")</f>
        <v/>
      </c>
      <c r="O139" s="301" t="str">
        <f>IF(AND('FT Fee'!H105="Yes"),VLOOKUP('Fee Summary'!A97,'FT Fee'!$A$22:$K$171,9,FALSE),"")</f>
        <v/>
      </c>
      <c r="AG139" s="301" t="str">
        <f t="shared" si="14"/>
        <v/>
      </c>
      <c r="AH139" s="457" t="str">
        <f t="array" ref="AH139">IF(IFERROR(INDEX($AM$11:$AM$177, MATCH(0,COUNTIF($AH$10:AH138,$AM$11:$AM$177), 0)),"")=0,"",IFERROR(INDEX($AM$11:$AM$177, MATCH(0,COUNTIF($AH$10:AH138,$AM$11:$AM$177), 0)),""))</f>
        <v/>
      </c>
      <c r="AI139" s="301" t="str">
        <f t="shared" si="15"/>
        <v/>
      </c>
      <c r="AK139" s="469" t="str">
        <f>IF('FT Fee (Franchise)'!C147="","",MAX(AK$10:AK138)+1)</f>
        <v/>
      </c>
      <c r="AL139" s="470" t="str">
        <f>IF(AND('FT Fee (Franchise)'!C147="",'FT Fee (Franchise)'!I147=""),"",'FT Fee (Franchise)'!C147)</f>
        <v/>
      </c>
      <c r="AM139" s="471" t="str">
        <f t="shared" ref="AM139:AM170" si="22">IFERROR(INDEX($AL$11:$AL$177,MATCH(ROW()-ROW($AM$10),$AK$11:$AK$177,0)),"")</f>
        <v/>
      </c>
    </row>
    <row r="140" spans="1:39" ht="18.75" x14ac:dyDescent="0.25">
      <c r="A140" s="71">
        <v>127</v>
      </c>
      <c r="B140" s="477" t="str">
        <f t="shared" si="16"/>
        <v/>
      </c>
      <c r="C140" s="478" t="str">
        <f t="shared" si="18"/>
        <v/>
      </c>
      <c r="D140" s="479" t="str">
        <f t="shared" si="17"/>
        <v/>
      </c>
      <c r="E140" s="413">
        <v>3</v>
      </c>
      <c r="F140" s="414">
        <v>127</v>
      </c>
      <c r="K140" s="301" t="str">
        <f>IF(ISERROR(RANK(L140,$L$23:$L$473,1)+COUNTIF($L$23:L140,L140)-1)=TRUE,"",RANK(L140,$L$23:$L$473,1)+COUNTIF($L$23:L140,L140)-1)</f>
        <v/>
      </c>
      <c r="L140" s="301" t="str">
        <f t="shared" si="21"/>
        <v/>
      </c>
      <c r="M140" s="301" t="str">
        <f>IF(AND('FT Fee'!H106="Yes"),VLOOKUP('Fee Summary'!A98,'FT Fee'!$A$22:$K$171,2,FALSE),"")</f>
        <v/>
      </c>
      <c r="N140" s="301" t="str">
        <f>IF(AND('FT Fee'!H106="Yes"),VLOOKUP('Fee Summary'!A98,'FT Fee'!$A$22:$K$171,3,FALSE),"")</f>
        <v/>
      </c>
      <c r="O140" s="301" t="str">
        <f>IF(AND('FT Fee'!H106="Yes"),VLOOKUP('Fee Summary'!A98,'FT Fee'!$A$22:$K$171,9,FALSE),"")</f>
        <v/>
      </c>
      <c r="AG140" s="301" t="str">
        <f t="shared" ref="AG140:AG161" si="23">IF(AH140="","",AG139+1)</f>
        <v/>
      </c>
      <c r="AH140" s="457" t="str">
        <f t="array" ref="AH140">IF(IFERROR(INDEX($AM$11:$AM$177, MATCH(0,COUNTIF($AH$10:AH139,$AM$11:$AM$177), 0)),"")=0,"",IFERROR(INDEX($AM$11:$AM$177, MATCH(0,COUNTIF($AH$10:AH139,$AM$11:$AM$177), 0)),""))</f>
        <v/>
      </c>
      <c r="AI140" s="301" t="str">
        <f t="shared" ref="AI140:AI161" si="24">IF(AH140="","",AI139+1)</f>
        <v/>
      </c>
      <c r="AK140" s="469" t="str">
        <f>IF('FT Fee (Franchise)'!C148="","",MAX(AK$10:AK139)+1)</f>
        <v/>
      </c>
      <c r="AL140" s="470" t="str">
        <f>IF(AND('FT Fee (Franchise)'!C148="",'FT Fee (Franchise)'!I148=""),"",'FT Fee (Franchise)'!C148)</f>
        <v/>
      </c>
      <c r="AM140" s="471" t="str">
        <f t="shared" si="22"/>
        <v/>
      </c>
    </row>
    <row r="141" spans="1:39" ht="18.75" x14ac:dyDescent="0.25">
      <c r="A141" s="71">
        <v>128</v>
      </c>
      <c r="B141" s="477" t="str">
        <f t="shared" si="16"/>
        <v/>
      </c>
      <c r="C141" s="478" t="str">
        <f t="shared" si="18"/>
        <v/>
      </c>
      <c r="D141" s="479" t="str">
        <f t="shared" si="17"/>
        <v/>
      </c>
      <c r="E141" s="413">
        <v>3</v>
      </c>
      <c r="F141" s="414">
        <v>128</v>
      </c>
      <c r="K141" s="301" t="str">
        <f>IF(ISERROR(RANK(L141,$L$23:$L$473,1)+COUNTIF($L$23:L141,L141)-1)=TRUE,"",RANK(L141,$L$23:$L$473,1)+COUNTIF($L$23:L141,L141)-1)</f>
        <v/>
      </c>
      <c r="L141" s="301" t="str">
        <f t="shared" si="21"/>
        <v/>
      </c>
      <c r="M141" s="301" t="str">
        <f>IF(AND('FT Fee'!H107="Yes"),VLOOKUP('Fee Summary'!A99,'FT Fee'!$A$22:$K$171,2,FALSE),"")</f>
        <v/>
      </c>
      <c r="N141" s="301" t="str">
        <f>IF(AND('FT Fee'!H107="Yes"),VLOOKUP('Fee Summary'!A99,'FT Fee'!$A$22:$K$171,3,FALSE),"")</f>
        <v/>
      </c>
      <c r="O141" s="301" t="str">
        <f>IF(AND('FT Fee'!H107="Yes"),VLOOKUP('Fee Summary'!A99,'FT Fee'!$A$22:$K$171,9,FALSE),"")</f>
        <v/>
      </c>
      <c r="AG141" s="301" t="str">
        <f t="shared" si="23"/>
        <v/>
      </c>
      <c r="AH141" s="457" t="str">
        <f t="array" ref="AH141">IF(IFERROR(INDEX($AM$11:$AM$177, MATCH(0,COUNTIF($AH$10:AH140,$AM$11:$AM$177), 0)),"")=0,"",IFERROR(INDEX($AM$11:$AM$177, MATCH(0,COUNTIF($AH$10:AH140,$AM$11:$AM$177), 0)),""))</f>
        <v/>
      </c>
      <c r="AI141" s="301" t="str">
        <f t="shared" si="24"/>
        <v/>
      </c>
      <c r="AK141" s="469" t="str">
        <f>IF('FT Fee (Franchise)'!C149="","",MAX(AK$10:AK140)+1)</f>
        <v/>
      </c>
      <c r="AL141" s="470" t="str">
        <f>IF(AND('FT Fee (Franchise)'!C149="",'FT Fee (Franchise)'!I149=""),"",'FT Fee (Franchise)'!C149)</f>
        <v/>
      </c>
      <c r="AM141" s="471" t="str">
        <f t="shared" si="22"/>
        <v/>
      </c>
    </row>
    <row r="142" spans="1:39" ht="18.75" x14ac:dyDescent="0.25">
      <c r="A142" s="70">
        <v>129</v>
      </c>
      <c r="B142" s="477" t="str">
        <f t="shared" ref="B142:B163" si="25">IF(ISERROR(IF(VLOOKUP(A142,$K$23:$O$473,3,FALSE)=0,"No course type selected on the FEE sheet.",VLOOKUP(A142,$K$23:$O$473,3,FALSE)))=TRUE,"",IF(VLOOKUP(A142,$K$23:$O$473,3,FALSE)=0,"No course type selected on the FEE sheet.",VLOOKUP(A142,$K$23:$O$473,3,FALSE)))</f>
        <v/>
      </c>
      <c r="C142" s="478" t="str">
        <f t="shared" si="18"/>
        <v/>
      </c>
      <c r="D142" s="479" t="str">
        <f t="shared" ref="D142:D163" si="26">IF(ISERROR(VLOOKUP(A142,$K$23:$O$473,5,FALSE))=TRUE,"",VLOOKUP(A142,$K$23:$O$473,5,FALSE))</f>
        <v/>
      </c>
      <c r="E142" s="413">
        <v>3</v>
      </c>
      <c r="F142" s="414">
        <v>129</v>
      </c>
      <c r="K142" s="301" t="str">
        <f>IF(ISERROR(RANK(L142,$L$23:$L$473,1)+COUNTIF($L$23:L142,L142)-1)=TRUE,"",RANK(L142,$L$23:$L$473,1)+COUNTIF($L$23:L142,L142)-1)</f>
        <v/>
      </c>
      <c r="L142" s="301" t="str">
        <f t="shared" si="21"/>
        <v/>
      </c>
      <c r="M142" s="301" t="str">
        <f>IF(AND('FT Fee'!H108="Yes"),VLOOKUP('Fee Summary'!A100,'FT Fee'!$A$22:$K$171,2,FALSE),"")</f>
        <v/>
      </c>
      <c r="N142" s="301" t="str">
        <f>IF(AND('FT Fee'!H108="Yes"),VLOOKUP('Fee Summary'!A100,'FT Fee'!$A$22:$K$171,3,FALSE),"")</f>
        <v/>
      </c>
      <c r="O142" s="301" t="str">
        <f>IF(AND('FT Fee'!H108="Yes"),VLOOKUP('Fee Summary'!A100,'FT Fee'!$A$22:$K$171,9,FALSE),"")</f>
        <v/>
      </c>
      <c r="AG142" s="301" t="str">
        <f t="shared" si="23"/>
        <v/>
      </c>
      <c r="AH142" s="457" t="str">
        <f t="array" ref="AH142">IF(IFERROR(INDEX($AM$11:$AM$177, MATCH(0,COUNTIF($AH$10:AH141,$AM$11:$AM$177), 0)),"")=0,"",IFERROR(INDEX($AM$11:$AM$177, MATCH(0,COUNTIF($AH$10:AH141,$AM$11:$AM$177), 0)),""))</f>
        <v/>
      </c>
      <c r="AI142" s="301" t="str">
        <f t="shared" si="24"/>
        <v/>
      </c>
      <c r="AK142" s="469" t="str">
        <f>IF('FT Fee (Franchise)'!C150="","",MAX(AK$10:AK141)+1)</f>
        <v/>
      </c>
      <c r="AL142" s="470" t="str">
        <f>IF(AND('FT Fee (Franchise)'!C150="",'FT Fee (Franchise)'!I150=""),"",'FT Fee (Franchise)'!C150)</f>
        <v/>
      </c>
      <c r="AM142" s="471" t="str">
        <f t="shared" si="22"/>
        <v/>
      </c>
    </row>
    <row r="143" spans="1:39" ht="18.75" x14ac:dyDescent="0.25">
      <c r="A143" s="71">
        <v>130</v>
      </c>
      <c r="B143" s="477" t="str">
        <f t="shared" si="25"/>
        <v/>
      </c>
      <c r="C143" s="478" t="str">
        <f t="shared" ref="C143:C163" si="27">IF(ISERROR(IF(VLOOKUP(A143,$K$23:$O$473,4,FALSE)=0,"",VLOOKUP(A143,$K$23:$O$473,4,FALSE)))=TRUE,"",IF(VLOOKUP(A143,$K$23:$O$473,4,FALSE)=0,"",VLOOKUP(A143,$K$23:$O$473,4,FALSE)))</f>
        <v/>
      </c>
      <c r="D143" s="479" t="str">
        <f t="shared" si="26"/>
        <v/>
      </c>
      <c r="E143" s="413">
        <v>3</v>
      </c>
      <c r="F143" s="414">
        <v>130</v>
      </c>
      <c r="K143" s="301" t="str">
        <f>IF(ISERROR(RANK(L143,$L$23:$L$473,1)+COUNTIF($L$23:L143,L143)-1)=TRUE,"",RANK(L143,$L$23:$L$473,1)+COUNTIF($L$23:L143,L143)-1)</f>
        <v/>
      </c>
      <c r="L143" s="301" t="str">
        <f t="shared" si="21"/>
        <v/>
      </c>
      <c r="M143" s="301" t="str">
        <f>IF(AND('FT Fee'!H109="Yes"),VLOOKUP('Fee Summary'!A101,'FT Fee'!$A$22:$K$171,2,FALSE),"")</f>
        <v/>
      </c>
      <c r="N143" s="301" t="str">
        <f>IF(AND('FT Fee'!H109="Yes"),VLOOKUP('Fee Summary'!A101,'FT Fee'!$A$22:$K$171,3,FALSE),"")</f>
        <v/>
      </c>
      <c r="O143" s="301" t="str">
        <f>IF(AND('FT Fee'!H109="Yes"),VLOOKUP('Fee Summary'!A101,'FT Fee'!$A$22:$K$171,9,FALSE),"")</f>
        <v/>
      </c>
      <c r="AG143" s="301" t="str">
        <f t="shared" si="23"/>
        <v/>
      </c>
      <c r="AH143" s="457" t="str">
        <f t="array" ref="AH143">IF(IFERROR(INDEX($AM$11:$AM$177, MATCH(0,COUNTIF($AH$10:AH142,$AM$11:$AM$177), 0)),"")=0,"",IFERROR(INDEX($AM$11:$AM$177, MATCH(0,COUNTIF($AH$10:AH142,$AM$11:$AM$177), 0)),""))</f>
        <v/>
      </c>
      <c r="AI143" s="301" t="str">
        <f t="shared" si="24"/>
        <v/>
      </c>
      <c r="AK143" s="469" t="str">
        <f>IF('FT Fee (Franchise)'!C151="","",MAX(AK$10:AK142)+1)</f>
        <v/>
      </c>
      <c r="AL143" s="470" t="str">
        <f>IF(AND('FT Fee (Franchise)'!C151="",'FT Fee (Franchise)'!I151=""),"",'FT Fee (Franchise)'!C151)</f>
        <v/>
      </c>
      <c r="AM143" s="471" t="str">
        <f t="shared" si="22"/>
        <v/>
      </c>
    </row>
    <row r="144" spans="1:39" ht="18.75" x14ac:dyDescent="0.25">
      <c r="A144" s="71">
        <v>131</v>
      </c>
      <c r="B144" s="477" t="str">
        <f t="shared" si="25"/>
        <v/>
      </c>
      <c r="C144" s="478" t="str">
        <f t="shared" si="27"/>
        <v/>
      </c>
      <c r="D144" s="479" t="str">
        <f t="shared" si="26"/>
        <v/>
      </c>
      <c r="E144" s="413">
        <v>3</v>
      </c>
      <c r="F144" s="414">
        <v>131</v>
      </c>
      <c r="K144" s="301" t="str">
        <f>IF(ISERROR(RANK(L144,$L$23:$L$473,1)+COUNTIF($L$23:L144,L144)-1)=TRUE,"",RANK(L144,$L$23:$L$473,1)+COUNTIF($L$23:L144,L144)-1)</f>
        <v/>
      </c>
      <c r="L144" s="301" t="str">
        <f t="shared" si="21"/>
        <v/>
      </c>
      <c r="M144" s="301" t="str">
        <f>IF(AND('FT Fee'!H110="Yes"),VLOOKUP('Fee Summary'!A102,'FT Fee'!$A$22:$K$171,2,FALSE),"")</f>
        <v/>
      </c>
      <c r="N144" s="301" t="str">
        <f>IF(AND('FT Fee'!H110="Yes"),VLOOKUP('Fee Summary'!A102,'FT Fee'!$A$22:$K$171,3,FALSE),"")</f>
        <v/>
      </c>
      <c r="O144" s="301" t="str">
        <f>IF(AND('FT Fee'!H110="Yes"),VLOOKUP('Fee Summary'!A102,'FT Fee'!$A$22:$K$171,9,FALSE),"")</f>
        <v/>
      </c>
      <c r="AG144" s="301" t="str">
        <f t="shared" si="23"/>
        <v/>
      </c>
      <c r="AH144" s="457" t="str">
        <f t="array" ref="AH144">IF(IFERROR(INDEX($AM$11:$AM$177, MATCH(0,COUNTIF($AH$10:AH143,$AM$11:$AM$177), 0)),"")=0,"",IFERROR(INDEX($AM$11:$AM$177, MATCH(0,COUNTIF($AH$10:AH143,$AM$11:$AM$177), 0)),""))</f>
        <v/>
      </c>
      <c r="AI144" s="301" t="str">
        <f t="shared" si="24"/>
        <v/>
      </c>
      <c r="AK144" s="469" t="str">
        <f>IF('FT Fee (Franchise)'!C152="","",MAX(AK$10:AK143)+1)</f>
        <v/>
      </c>
      <c r="AL144" s="470" t="str">
        <f>IF(AND('FT Fee (Franchise)'!C152="",'FT Fee (Franchise)'!I152=""),"",'FT Fee (Franchise)'!C152)</f>
        <v/>
      </c>
      <c r="AM144" s="471" t="str">
        <f t="shared" si="22"/>
        <v/>
      </c>
    </row>
    <row r="145" spans="1:39" ht="18.75" x14ac:dyDescent="0.25">
      <c r="A145" s="71">
        <v>132</v>
      </c>
      <c r="B145" s="477" t="str">
        <f t="shared" si="25"/>
        <v/>
      </c>
      <c r="C145" s="478" t="str">
        <f t="shared" si="27"/>
        <v/>
      </c>
      <c r="D145" s="479" t="str">
        <f t="shared" si="26"/>
        <v/>
      </c>
      <c r="E145" s="413">
        <v>3</v>
      </c>
      <c r="F145" s="414">
        <v>132</v>
      </c>
      <c r="K145" s="301" t="str">
        <f>IF(ISERROR(RANK(L145,$L$23:$L$473,1)+COUNTIF($L$23:L145,L145)-1)=TRUE,"",RANK(L145,$L$23:$L$473,1)+COUNTIF($L$23:L145,L145)-1)</f>
        <v/>
      </c>
      <c r="L145" s="301" t="str">
        <f t="shared" si="21"/>
        <v/>
      </c>
      <c r="M145" s="301" t="str">
        <f>IF(AND('FT Fee'!H111="Yes"),VLOOKUP('Fee Summary'!A103,'FT Fee'!$A$22:$K$171,2,FALSE),"")</f>
        <v/>
      </c>
      <c r="N145" s="301" t="str">
        <f>IF(AND('FT Fee'!H111="Yes"),VLOOKUP('Fee Summary'!A103,'FT Fee'!$A$22:$K$171,3,FALSE),"")</f>
        <v/>
      </c>
      <c r="O145" s="301" t="str">
        <f>IF(AND('FT Fee'!H111="Yes"),VLOOKUP('Fee Summary'!A103,'FT Fee'!$A$22:$K$171,9,FALSE),"")</f>
        <v/>
      </c>
      <c r="AG145" s="301" t="str">
        <f t="shared" si="23"/>
        <v/>
      </c>
      <c r="AH145" s="457" t="str">
        <f t="array" ref="AH145">IF(IFERROR(INDEX($AM$11:$AM$177, MATCH(0,COUNTIF($AH$10:AH144,$AM$11:$AM$177), 0)),"")=0,"",IFERROR(INDEX($AM$11:$AM$177, MATCH(0,COUNTIF($AH$10:AH144,$AM$11:$AM$177), 0)),""))</f>
        <v/>
      </c>
      <c r="AI145" s="301" t="str">
        <f t="shared" si="24"/>
        <v/>
      </c>
      <c r="AK145" s="469" t="str">
        <f>IF('FT Fee (Franchise)'!C153="","",MAX(AK$10:AK144)+1)</f>
        <v/>
      </c>
      <c r="AL145" s="470" t="str">
        <f>IF(AND('FT Fee (Franchise)'!C153="",'FT Fee (Franchise)'!I153=""),"",'FT Fee (Franchise)'!C153)</f>
        <v/>
      </c>
      <c r="AM145" s="471" t="str">
        <f t="shared" si="22"/>
        <v/>
      </c>
    </row>
    <row r="146" spans="1:39" ht="18.75" x14ac:dyDescent="0.25">
      <c r="A146" s="70">
        <v>133</v>
      </c>
      <c r="B146" s="477" t="str">
        <f t="shared" si="25"/>
        <v/>
      </c>
      <c r="C146" s="478" t="str">
        <f t="shared" si="27"/>
        <v/>
      </c>
      <c r="D146" s="479" t="str">
        <f t="shared" si="26"/>
        <v/>
      </c>
      <c r="E146" s="413">
        <v>3</v>
      </c>
      <c r="F146" s="414">
        <v>133</v>
      </c>
      <c r="K146" s="301" t="str">
        <f>IF(ISERROR(RANK(L146,$L$23:$L$473,1)+COUNTIF($L$23:L146,L146)-1)=TRUE,"",RANK(L146,$L$23:$L$473,1)+COUNTIF($L$23:L146,L146)-1)</f>
        <v/>
      </c>
      <c r="L146" s="301" t="str">
        <f t="shared" si="21"/>
        <v/>
      </c>
      <c r="M146" s="301" t="str">
        <f>IF(AND('FT Fee'!H112="Yes"),VLOOKUP('Fee Summary'!A104,'FT Fee'!$A$22:$K$171,2,FALSE),"")</f>
        <v/>
      </c>
      <c r="N146" s="301" t="str">
        <f>IF(AND('FT Fee'!H112="Yes"),VLOOKUP('Fee Summary'!A104,'FT Fee'!$A$22:$K$171,3,FALSE),"")</f>
        <v/>
      </c>
      <c r="O146" s="301" t="str">
        <f>IF(AND('FT Fee'!H112="Yes"),VLOOKUP('Fee Summary'!A104,'FT Fee'!$A$22:$K$171,9,FALSE),"")</f>
        <v/>
      </c>
      <c r="AG146" s="301" t="str">
        <f t="shared" si="23"/>
        <v/>
      </c>
      <c r="AH146" s="457" t="str">
        <f t="array" ref="AH146">IF(IFERROR(INDEX($AM$11:$AM$177, MATCH(0,COUNTIF($AH$10:AH145,$AM$11:$AM$177), 0)),"")=0,"",IFERROR(INDEX($AM$11:$AM$177, MATCH(0,COUNTIF($AH$10:AH145,$AM$11:$AM$177), 0)),""))</f>
        <v/>
      </c>
      <c r="AI146" s="301" t="str">
        <f t="shared" si="24"/>
        <v/>
      </c>
      <c r="AK146" s="469" t="str">
        <f>IF('FT Fee (Franchise)'!C154="","",MAX(AK$10:AK145)+1)</f>
        <v/>
      </c>
      <c r="AL146" s="470" t="str">
        <f>IF(AND('FT Fee (Franchise)'!C154="",'FT Fee (Franchise)'!I154=""),"",'FT Fee (Franchise)'!C154)</f>
        <v/>
      </c>
      <c r="AM146" s="471" t="str">
        <f t="shared" si="22"/>
        <v/>
      </c>
    </row>
    <row r="147" spans="1:39" ht="18.75" x14ac:dyDescent="0.25">
      <c r="A147" s="71">
        <v>134</v>
      </c>
      <c r="B147" s="477" t="str">
        <f t="shared" si="25"/>
        <v/>
      </c>
      <c r="C147" s="478" t="str">
        <f t="shared" si="27"/>
        <v/>
      </c>
      <c r="D147" s="479" t="str">
        <f t="shared" si="26"/>
        <v/>
      </c>
      <c r="E147" s="413">
        <v>3</v>
      </c>
      <c r="F147" s="414">
        <v>134</v>
      </c>
      <c r="K147" s="301" t="str">
        <f>IF(ISERROR(RANK(L147,$L$23:$L$473,1)+COUNTIF($L$23:L147,L147)-1)=TRUE,"",RANK(L147,$L$23:$L$473,1)+COUNTIF($L$23:L147,L147)-1)</f>
        <v/>
      </c>
      <c r="L147" s="301" t="str">
        <f t="shared" si="21"/>
        <v/>
      </c>
      <c r="M147" s="301" t="str">
        <f>IF(AND('FT Fee'!H113="Yes"),VLOOKUP('Fee Summary'!A105,'FT Fee'!$A$22:$K$171,2,FALSE),"")</f>
        <v/>
      </c>
      <c r="N147" s="301" t="str">
        <f>IF(AND('FT Fee'!H113="Yes"),VLOOKUP('Fee Summary'!A105,'FT Fee'!$A$22:$K$171,3,FALSE),"")</f>
        <v/>
      </c>
      <c r="O147" s="301" t="str">
        <f>IF(AND('FT Fee'!H113="Yes"),VLOOKUP('Fee Summary'!A105,'FT Fee'!$A$22:$K$171,9,FALSE),"")</f>
        <v/>
      </c>
      <c r="AG147" s="301" t="str">
        <f t="shared" si="23"/>
        <v/>
      </c>
      <c r="AH147" s="457" t="str">
        <f t="array" ref="AH147">IF(IFERROR(INDEX($AM$11:$AM$177, MATCH(0,COUNTIF($AH$10:AH146,$AM$11:$AM$177), 0)),"")=0,"",IFERROR(INDEX($AM$11:$AM$177, MATCH(0,COUNTIF($AH$10:AH146,$AM$11:$AM$177), 0)),""))</f>
        <v/>
      </c>
      <c r="AI147" s="301" t="str">
        <f t="shared" si="24"/>
        <v/>
      </c>
      <c r="AK147" s="469" t="str">
        <f>IF('FT Fee (Franchise)'!C155="","",MAX(AK$10:AK146)+1)</f>
        <v/>
      </c>
      <c r="AL147" s="470" t="str">
        <f>IF(AND('FT Fee (Franchise)'!C155="",'FT Fee (Franchise)'!I155=""),"",'FT Fee (Franchise)'!C155)</f>
        <v/>
      </c>
      <c r="AM147" s="471" t="str">
        <f t="shared" si="22"/>
        <v/>
      </c>
    </row>
    <row r="148" spans="1:39" ht="18.75" x14ac:dyDescent="0.25">
      <c r="A148" s="71">
        <v>135</v>
      </c>
      <c r="B148" s="477" t="str">
        <f t="shared" si="25"/>
        <v/>
      </c>
      <c r="C148" s="478" t="str">
        <f t="shared" si="27"/>
        <v/>
      </c>
      <c r="D148" s="479" t="str">
        <f t="shared" si="26"/>
        <v/>
      </c>
      <c r="E148" s="413">
        <v>3</v>
      </c>
      <c r="F148" s="414">
        <v>135</v>
      </c>
      <c r="K148" s="301" t="str">
        <f>IF(ISERROR(RANK(L148,$L$23:$L$473,1)+COUNTIF($L$23:L148,L148)-1)=TRUE,"",RANK(L148,$L$23:$L$473,1)+COUNTIF($L$23:L148,L148)-1)</f>
        <v/>
      </c>
      <c r="L148" s="301" t="str">
        <f t="shared" si="21"/>
        <v/>
      </c>
      <c r="M148" s="301" t="str">
        <f>IF(AND('FT Fee'!H114="Yes"),VLOOKUP('Fee Summary'!A106,'FT Fee'!$A$22:$K$171,2,FALSE),"")</f>
        <v/>
      </c>
      <c r="N148" s="301" t="str">
        <f>IF(AND('FT Fee'!H114="Yes"),VLOOKUP('Fee Summary'!A106,'FT Fee'!$A$22:$K$171,3,FALSE),"")</f>
        <v/>
      </c>
      <c r="O148" s="301" t="str">
        <f>IF(AND('FT Fee'!H114="Yes"),VLOOKUP('Fee Summary'!A106,'FT Fee'!$A$22:$K$171,9,FALSE),"")</f>
        <v/>
      </c>
      <c r="AG148" s="301" t="str">
        <f t="shared" si="23"/>
        <v/>
      </c>
      <c r="AH148" s="457" t="str">
        <f t="array" ref="AH148">IF(IFERROR(INDEX($AM$11:$AM$177, MATCH(0,COUNTIF($AH$10:AH147,$AM$11:$AM$177), 0)),"")=0,"",IFERROR(INDEX($AM$11:$AM$177, MATCH(0,COUNTIF($AH$10:AH147,$AM$11:$AM$177), 0)),""))</f>
        <v/>
      </c>
      <c r="AI148" s="301" t="str">
        <f t="shared" si="24"/>
        <v/>
      </c>
      <c r="AK148" s="469" t="str">
        <f>IF('FT Fee (Franchise)'!C156="","",MAX(AK$10:AK147)+1)</f>
        <v/>
      </c>
      <c r="AL148" s="470" t="str">
        <f>IF(AND('FT Fee (Franchise)'!C156="",'FT Fee (Franchise)'!I156=""),"",'FT Fee (Franchise)'!C156)</f>
        <v/>
      </c>
      <c r="AM148" s="471" t="str">
        <f t="shared" si="22"/>
        <v/>
      </c>
    </row>
    <row r="149" spans="1:39" ht="18.75" x14ac:dyDescent="0.25">
      <c r="A149" s="71">
        <v>136</v>
      </c>
      <c r="B149" s="477" t="str">
        <f t="shared" si="25"/>
        <v/>
      </c>
      <c r="C149" s="478" t="str">
        <f t="shared" si="27"/>
        <v/>
      </c>
      <c r="D149" s="479" t="str">
        <f t="shared" si="26"/>
        <v/>
      </c>
      <c r="E149" s="413">
        <v>3</v>
      </c>
      <c r="F149" s="414">
        <v>136</v>
      </c>
      <c r="K149" s="301" t="str">
        <f>IF(ISERROR(RANK(L149,$L$23:$L$473,1)+COUNTIF($L$23:L149,L149)-1)=TRUE,"",RANK(L149,$L$23:$L$473,1)+COUNTIF($L$23:L149,L149)-1)</f>
        <v/>
      </c>
      <c r="L149" s="301" t="str">
        <f t="shared" si="21"/>
        <v/>
      </c>
      <c r="M149" s="301" t="str">
        <f>IF(AND('FT Fee'!H115="Yes"),VLOOKUP('Fee Summary'!A107,'FT Fee'!$A$22:$K$171,2,FALSE),"")</f>
        <v/>
      </c>
      <c r="N149" s="301" t="str">
        <f>IF(AND('FT Fee'!H115="Yes"),VLOOKUP('Fee Summary'!A107,'FT Fee'!$A$22:$K$171,3,FALSE),"")</f>
        <v/>
      </c>
      <c r="O149" s="301" t="str">
        <f>IF(AND('FT Fee'!H115="Yes"),VLOOKUP('Fee Summary'!A107,'FT Fee'!$A$22:$K$171,9,FALSE),"")</f>
        <v/>
      </c>
      <c r="AG149" s="301" t="str">
        <f t="shared" si="23"/>
        <v/>
      </c>
      <c r="AH149" s="457" t="str">
        <f t="array" ref="AH149">IF(IFERROR(INDEX($AM$11:$AM$177, MATCH(0,COUNTIF($AH$10:AH148,$AM$11:$AM$177), 0)),"")=0,"",IFERROR(INDEX($AM$11:$AM$177, MATCH(0,COUNTIF($AH$10:AH148,$AM$11:$AM$177), 0)),""))</f>
        <v/>
      </c>
      <c r="AI149" s="301" t="str">
        <f t="shared" si="24"/>
        <v/>
      </c>
      <c r="AK149" s="469" t="str">
        <f>IF('FT Fee (Franchise)'!C157="","",MAX(AK$10:AK148)+1)</f>
        <v/>
      </c>
      <c r="AL149" s="470" t="str">
        <f>IF(AND('FT Fee (Franchise)'!C157="",'FT Fee (Franchise)'!I157=""),"",'FT Fee (Franchise)'!C157)</f>
        <v/>
      </c>
      <c r="AM149" s="471" t="str">
        <f t="shared" si="22"/>
        <v/>
      </c>
    </row>
    <row r="150" spans="1:39" ht="18.75" x14ac:dyDescent="0.25">
      <c r="A150" s="70">
        <v>137</v>
      </c>
      <c r="B150" s="477" t="str">
        <f t="shared" si="25"/>
        <v/>
      </c>
      <c r="C150" s="478" t="str">
        <f t="shared" si="27"/>
        <v/>
      </c>
      <c r="D150" s="479" t="str">
        <f t="shared" si="26"/>
        <v/>
      </c>
      <c r="E150" s="413">
        <v>3</v>
      </c>
      <c r="F150" s="414">
        <v>137</v>
      </c>
      <c r="K150" s="301" t="str">
        <f>IF(ISERROR(RANK(L150,$L$23:$L$473,1)+COUNTIF($L$23:L150,L150)-1)=TRUE,"",RANK(L150,$L$23:$L$473,1)+COUNTIF($L$23:L150,L150)-1)</f>
        <v/>
      </c>
      <c r="L150" s="301" t="str">
        <f t="shared" si="21"/>
        <v/>
      </c>
      <c r="M150" s="301" t="str">
        <f>IF(AND('FT Fee'!H116="Yes"),VLOOKUP('Fee Summary'!A108,'FT Fee'!$A$22:$K$171,2,FALSE),"")</f>
        <v/>
      </c>
      <c r="N150" s="301" t="str">
        <f>IF(AND('FT Fee'!H116="Yes"),VLOOKUP('Fee Summary'!A108,'FT Fee'!$A$22:$K$171,3,FALSE),"")</f>
        <v/>
      </c>
      <c r="O150" s="301" t="str">
        <f>IF(AND('FT Fee'!H116="Yes"),VLOOKUP('Fee Summary'!A108,'FT Fee'!$A$22:$K$171,9,FALSE),"")</f>
        <v/>
      </c>
      <c r="AG150" s="301" t="str">
        <f t="shared" si="23"/>
        <v/>
      </c>
      <c r="AH150" s="457" t="str">
        <f t="array" ref="AH150">IF(IFERROR(INDEX($AM$11:$AM$177, MATCH(0,COUNTIF($AH$10:AH149,$AM$11:$AM$177), 0)),"")=0,"",IFERROR(INDEX($AM$11:$AM$177, MATCH(0,COUNTIF($AH$10:AH149,$AM$11:$AM$177), 0)),""))</f>
        <v/>
      </c>
      <c r="AI150" s="301" t="str">
        <f t="shared" si="24"/>
        <v/>
      </c>
      <c r="AK150" s="469" t="str">
        <f>IF('FT Fee (Franchise)'!C158="","",MAX(AK$10:AK149)+1)</f>
        <v/>
      </c>
      <c r="AL150" s="470" t="str">
        <f>IF(AND('FT Fee (Franchise)'!C158="",'FT Fee (Franchise)'!I158=""),"",'FT Fee (Franchise)'!C158)</f>
        <v/>
      </c>
      <c r="AM150" s="471" t="str">
        <f t="shared" si="22"/>
        <v/>
      </c>
    </row>
    <row r="151" spans="1:39" ht="18.75" x14ac:dyDescent="0.25">
      <c r="A151" s="71">
        <v>138</v>
      </c>
      <c r="B151" s="477" t="str">
        <f t="shared" si="25"/>
        <v/>
      </c>
      <c r="C151" s="478" t="str">
        <f t="shared" si="27"/>
        <v/>
      </c>
      <c r="D151" s="479" t="str">
        <f t="shared" si="26"/>
        <v/>
      </c>
      <c r="E151" s="413">
        <v>3</v>
      </c>
      <c r="F151" s="414">
        <v>138</v>
      </c>
      <c r="K151" s="301" t="str">
        <f>IF(ISERROR(RANK(L151,$L$23:$L$473,1)+COUNTIF($L$23:L151,L151)-1)=TRUE,"",RANK(L151,$L$23:$L$473,1)+COUNTIF($L$23:L151,L151)-1)</f>
        <v/>
      </c>
      <c r="L151" s="301" t="str">
        <f t="shared" si="21"/>
        <v/>
      </c>
      <c r="M151" s="301" t="str">
        <f>IF(AND('FT Fee'!H117="Yes"),VLOOKUP('Fee Summary'!A109,'FT Fee'!$A$22:$K$171,2,FALSE),"")</f>
        <v/>
      </c>
      <c r="N151" s="301" t="str">
        <f>IF(AND('FT Fee'!H117="Yes"),VLOOKUP('Fee Summary'!A109,'FT Fee'!$A$22:$K$171,3,FALSE),"")</f>
        <v/>
      </c>
      <c r="O151" s="301" t="str">
        <f>IF(AND('FT Fee'!H117="Yes"),VLOOKUP('Fee Summary'!A109,'FT Fee'!$A$22:$K$171,9,FALSE),"")</f>
        <v/>
      </c>
      <c r="AG151" s="301" t="str">
        <f t="shared" si="23"/>
        <v/>
      </c>
      <c r="AH151" s="457" t="str">
        <f t="array" ref="AH151">IF(IFERROR(INDEX($AM$11:$AM$177, MATCH(0,COUNTIF($AH$10:AH150,$AM$11:$AM$177), 0)),"")=0,"",IFERROR(INDEX($AM$11:$AM$177, MATCH(0,COUNTIF($AH$10:AH150,$AM$11:$AM$177), 0)),""))</f>
        <v/>
      </c>
      <c r="AI151" s="301" t="str">
        <f t="shared" si="24"/>
        <v/>
      </c>
      <c r="AK151" s="469" t="str">
        <f>IF('FT Fee (Franchise)'!C159="","",MAX(AK$10:AK150)+1)</f>
        <v/>
      </c>
      <c r="AL151" s="470" t="str">
        <f>IF(AND('FT Fee (Franchise)'!C159="",'FT Fee (Franchise)'!I159=""),"",'FT Fee (Franchise)'!C159)</f>
        <v/>
      </c>
      <c r="AM151" s="471" t="str">
        <f t="shared" si="22"/>
        <v/>
      </c>
    </row>
    <row r="152" spans="1:39" ht="18.75" x14ac:dyDescent="0.25">
      <c r="A152" s="71">
        <v>139</v>
      </c>
      <c r="B152" s="477" t="str">
        <f t="shared" si="25"/>
        <v/>
      </c>
      <c r="C152" s="478" t="str">
        <f t="shared" si="27"/>
        <v/>
      </c>
      <c r="D152" s="479" t="str">
        <f t="shared" si="26"/>
        <v/>
      </c>
      <c r="E152" s="413">
        <v>3</v>
      </c>
      <c r="F152" s="414">
        <v>139</v>
      </c>
      <c r="K152" s="301" t="str">
        <f>IF(ISERROR(RANK(L152,$L$23:$L$473,1)+COUNTIF($L$23:L152,L152)-1)=TRUE,"",RANK(L152,$L$23:$L$473,1)+COUNTIF($L$23:L152,L152)-1)</f>
        <v/>
      </c>
      <c r="L152" s="301" t="str">
        <f t="shared" ref="L152:L183" si="28">IF(ISERROR(VLOOKUP(M152,$M$11:$M$20,1,FALSE))=TRUE,"",VLOOKUP(M152,$M$11:$P$20,3,FALSE))</f>
        <v/>
      </c>
      <c r="M152" s="301" t="str">
        <f>IF(AND('FT Fee'!H118="Yes"),VLOOKUP('Fee Summary'!A110,'FT Fee'!$A$22:$K$171,2,FALSE),"")</f>
        <v/>
      </c>
      <c r="N152" s="301" t="str">
        <f>IF(AND('FT Fee'!H118="Yes"),VLOOKUP('Fee Summary'!A110,'FT Fee'!$A$22:$K$171,3,FALSE),"")</f>
        <v/>
      </c>
      <c r="O152" s="301" t="str">
        <f>IF(AND('FT Fee'!H118="Yes"),VLOOKUP('Fee Summary'!A110,'FT Fee'!$A$22:$K$171,9,FALSE),"")</f>
        <v/>
      </c>
      <c r="AG152" s="301" t="str">
        <f t="shared" si="23"/>
        <v/>
      </c>
      <c r="AH152" s="457" t="str">
        <f t="array" ref="AH152">IF(IFERROR(INDEX($AM$11:$AM$177, MATCH(0,COUNTIF($AH$10:AH151,$AM$11:$AM$177), 0)),"")=0,"",IFERROR(INDEX($AM$11:$AM$177, MATCH(0,COUNTIF($AH$10:AH151,$AM$11:$AM$177), 0)),""))</f>
        <v/>
      </c>
      <c r="AI152" s="301" t="str">
        <f t="shared" si="24"/>
        <v/>
      </c>
      <c r="AK152" s="469" t="str">
        <f>IF('FT Fee (Franchise)'!C160="","",MAX(AK$10:AK151)+1)</f>
        <v/>
      </c>
      <c r="AL152" s="470" t="str">
        <f>IF(AND('FT Fee (Franchise)'!C160="",'FT Fee (Franchise)'!I160=""),"",'FT Fee (Franchise)'!C160)</f>
        <v/>
      </c>
      <c r="AM152" s="471" t="str">
        <f t="shared" si="22"/>
        <v/>
      </c>
    </row>
    <row r="153" spans="1:39" ht="18.75" x14ac:dyDescent="0.25">
      <c r="A153" s="71">
        <v>140</v>
      </c>
      <c r="B153" s="477" t="str">
        <f t="shared" si="25"/>
        <v/>
      </c>
      <c r="C153" s="478" t="str">
        <f t="shared" si="27"/>
        <v/>
      </c>
      <c r="D153" s="479" t="str">
        <f t="shared" si="26"/>
        <v/>
      </c>
      <c r="E153" s="413">
        <v>3</v>
      </c>
      <c r="F153" s="414">
        <v>140</v>
      </c>
      <c r="K153" s="301" t="str">
        <f>IF(ISERROR(RANK(L153,$L$23:$L$473,1)+COUNTIF($L$23:L153,L153)-1)=TRUE,"",RANK(L153,$L$23:$L$473,1)+COUNTIF($L$23:L153,L153)-1)</f>
        <v/>
      </c>
      <c r="L153" s="301" t="str">
        <f t="shared" si="28"/>
        <v/>
      </c>
      <c r="M153" s="301" t="str">
        <f>IF(AND('FT Fee'!H119="Yes"),VLOOKUP('Fee Summary'!A111,'FT Fee'!$A$22:$K$171,2,FALSE),"")</f>
        <v/>
      </c>
      <c r="N153" s="301" t="str">
        <f>IF(AND('FT Fee'!H119="Yes"),VLOOKUP('Fee Summary'!A111,'FT Fee'!$A$22:$K$171,3,FALSE),"")</f>
        <v/>
      </c>
      <c r="O153" s="301" t="str">
        <f>IF(AND('FT Fee'!H119="Yes"),VLOOKUP('Fee Summary'!A111,'FT Fee'!$A$22:$K$171,9,FALSE),"")</f>
        <v/>
      </c>
      <c r="AG153" s="301" t="str">
        <f t="shared" si="23"/>
        <v/>
      </c>
      <c r="AH153" s="457" t="str">
        <f t="array" ref="AH153">IF(IFERROR(INDEX($AM$11:$AM$177, MATCH(0,COUNTIF($AH$10:AH152,$AM$11:$AM$177), 0)),"")=0,"",IFERROR(INDEX($AM$11:$AM$177, MATCH(0,COUNTIF($AH$10:AH152,$AM$11:$AM$177), 0)),""))</f>
        <v/>
      </c>
      <c r="AI153" s="301" t="str">
        <f t="shared" si="24"/>
        <v/>
      </c>
      <c r="AK153" s="469" t="str">
        <f>IF('FT Fee (Franchise)'!C161="","",MAX(AK$10:AK152)+1)</f>
        <v/>
      </c>
      <c r="AL153" s="470" t="str">
        <f>IF(AND('FT Fee (Franchise)'!C161="",'FT Fee (Franchise)'!I161=""),"",'FT Fee (Franchise)'!C161)</f>
        <v/>
      </c>
      <c r="AM153" s="471" t="str">
        <f t="shared" si="22"/>
        <v/>
      </c>
    </row>
    <row r="154" spans="1:39" ht="18.75" x14ac:dyDescent="0.25">
      <c r="A154" s="70">
        <v>141</v>
      </c>
      <c r="B154" s="477" t="str">
        <f t="shared" si="25"/>
        <v/>
      </c>
      <c r="C154" s="478" t="str">
        <f t="shared" si="27"/>
        <v/>
      </c>
      <c r="D154" s="479" t="str">
        <f t="shared" si="26"/>
        <v/>
      </c>
      <c r="E154" s="413">
        <v>3</v>
      </c>
      <c r="F154" s="414">
        <v>141</v>
      </c>
      <c r="K154" s="301" t="str">
        <f>IF(ISERROR(RANK(L154,$L$23:$L$473,1)+COUNTIF($L$23:L154,L154)-1)=TRUE,"",RANK(L154,$L$23:$L$473,1)+COUNTIF($L$23:L154,L154)-1)</f>
        <v/>
      </c>
      <c r="L154" s="301" t="str">
        <f t="shared" si="28"/>
        <v/>
      </c>
      <c r="M154" s="301" t="str">
        <f>IF(AND('FT Fee'!H120="Yes"),VLOOKUP('Fee Summary'!A112,'FT Fee'!$A$22:$K$171,2,FALSE),"")</f>
        <v/>
      </c>
      <c r="N154" s="301" t="str">
        <f>IF(AND('FT Fee'!H120="Yes"),VLOOKUP('Fee Summary'!A112,'FT Fee'!$A$22:$K$171,3,FALSE),"")</f>
        <v/>
      </c>
      <c r="O154" s="301" t="str">
        <f>IF(AND('FT Fee'!H120="Yes"),VLOOKUP('Fee Summary'!A112,'FT Fee'!$A$22:$K$171,9,FALSE),"")</f>
        <v/>
      </c>
      <c r="AG154" s="301" t="str">
        <f t="shared" si="23"/>
        <v/>
      </c>
      <c r="AH154" s="457" t="str">
        <f t="array" ref="AH154">IF(IFERROR(INDEX($AM$11:$AM$177, MATCH(0,COUNTIF($AH$10:AH153,$AM$11:$AM$177), 0)),"")=0,"",IFERROR(INDEX($AM$11:$AM$177, MATCH(0,COUNTIF($AH$10:AH153,$AM$11:$AM$177), 0)),""))</f>
        <v/>
      </c>
      <c r="AI154" s="301" t="str">
        <f t="shared" si="24"/>
        <v/>
      </c>
      <c r="AK154" s="469" t="str">
        <f>IF('FT Fee (Franchise)'!C162="","",MAX(AK$10:AK153)+1)</f>
        <v/>
      </c>
      <c r="AL154" s="470" t="str">
        <f>IF(AND('FT Fee (Franchise)'!C162="",'FT Fee (Franchise)'!I162=""),"",'FT Fee (Franchise)'!C162)</f>
        <v/>
      </c>
      <c r="AM154" s="471" t="str">
        <f t="shared" si="22"/>
        <v/>
      </c>
    </row>
    <row r="155" spans="1:39" ht="18.75" x14ac:dyDescent="0.25">
      <c r="A155" s="71">
        <v>142</v>
      </c>
      <c r="B155" s="477" t="str">
        <f t="shared" si="25"/>
        <v/>
      </c>
      <c r="C155" s="478" t="str">
        <f t="shared" si="27"/>
        <v/>
      </c>
      <c r="D155" s="479" t="str">
        <f t="shared" si="26"/>
        <v/>
      </c>
      <c r="E155" s="413">
        <v>3</v>
      </c>
      <c r="F155" s="414">
        <v>142</v>
      </c>
      <c r="K155" s="301" t="str">
        <f>IF(ISERROR(RANK(L155,$L$23:$L$473,1)+COUNTIF($L$23:L155,L155)-1)=TRUE,"",RANK(L155,$L$23:$L$473,1)+COUNTIF($L$23:L155,L155)-1)</f>
        <v/>
      </c>
      <c r="L155" s="301" t="str">
        <f t="shared" si="28"/>
        <v/>
      </c>
      <c r="M155" s="301" t="str">
        <f>IF(AND('FT Fee'!H121="Yes"),VLOOKUP('Fee Summary'!A113,'FT Fee'!$A$22:$K$171,2,FALSE),"")</f>
        <v/>
      </c>
      <c r="N155" s="301" t="str">
        <f>IF(AND('FT Fee'!H121="Yes"),VLOOKUP('Fee Summary'!A113,'FT Fee'!$A$22:$K$171,3,FALSE),"")</f>
        <v/>
      </c>
      <c r="O155" s="301" t="str">
        <f>IF(AND('FT Fee'!H121="Yes"),VLOOKUP('Fee Summary'!A113,'FT Fee'!$A$22:$K$171,9,FALSE),"")</f>
        <v/>
      </c>
      <c r="AG155" s="301" t="str">
        <f t="shared" si="23"/>
        <v/>
      </c>
      <c r="AH155" s="457" t="str">
        <f t="array" ref="AH155">IF(IFERROR(INDEX($AM$11:$AM$177, MATCH(0,COUNTIF($AH$10:AH154,$AM$11:$AM$177), 0)),"")=0,"",IFERROR(INDEX($AM$11:$AM$177, MATCH(0,COUNTIF($AH$10:AH154,$AM$11:$AM$177), 0)),""))</f>
        <v/>
      </c>
      <c r="AI155" s="301" t="str">
        <f t="shared" si="24"/>
        <v/>
      </c>
      <c r="AK155" s="469" t="str">
        <f>IF('FT Fee (Franchise)'!C163="","",MAX(AK$10:AK154)+1)</f>
        <v/>
      </c>
      <c r="AL155" s="470" t="str">
        <f>IF(AND('FT Fee (Franchise)'!C163="",'FT Fee (Franchise)'!I163=""),"",'FT Fee (Franchise)'!C163)</f>
        <v/>
      </c>
      <c r="AM155" s="471" t="str">
        <f t="shared" si="22"/>
        <v/>
      </c>
    </row>
    <row r="156" spans="1:39" ht="18.75" x14ac:dyDescent="0.25">
      <c r="A156" s="71">
        <v>143</v>
      </c>
      <c r="B156" s="477" t="str">
        <f t="shared" si="25"/>
        <v/>
      </c>
      <c r="C156" s="478" t="str">
        <f t="shared" si="27"/>
        <v/>
      </c>
      <c r="D156" s="479" t="str">
        <f t="shared" si="26"/>
        <v/>
      </c>
      <c r="E156" s="413">
        <v>3</v>
      </c>
      <c r="F156" s="414">
        <v>143</v>
      </c>
      <c r="K156" s="301" t="str">
        <f>IF(ISERROR(RANK(L156,$L$23:$L$473,1)+COUNTIF($L$23:L156,L156)-1)=TRUE,"",RANK(L156,$L$23:$L$473,1)+COUNTIF($L$23:L156,L156)-1)</f>
        <v/>
      </c>
      <c r="L156" s="301" t="str">
        <f t="shared" si="28"/>
        <v/>
      </c>
      <c r="M156" s="301" t="str">
        <f>IF(AND('FT Fee'!H122="Yes"),VLOOKUP('Fee Summary'!A114,'FT Fee'!$A$22:$K$171,2,FALSE),"")</f>
        <v/>
      </c>
      <c r="N156" s="301" t="str">
        <f>IF(AND('FT Fee'!H122="Yes"),VLOOKUP('Fee Summary'!A114,'FT Fee'!$A$22:$K$171,3,FALSE),"")</f>
        <v/>
      </c>
      <c r="O156" s="301" t="str">
        <f>IF(AND('FT Fee'!H122="Yes"),VLOOKUP('Fee Summary'!A114,'FT Fee'!$A$22:$K$171,9,FALSE),"")</f>
        <v/>
      </c>
      <c r="AG156" s="301" t="str">
        <f t="shared" si="23"/>
        <v/>
      </c>
      <c r="AH156" s="457" t="str">
        <f t="array" ref="AH156">IF(IFERROR(INDEX($AM$11:$AM$177, MATCH(0,COUNTIF($AH$10:AH155,$AM$11:$AM$177), 0)),"")=0,"",IFERROR(INDEX($AM$11:$AM$177, MATCH(0,COUNTIF($AH$10:AH155,$AM$11:$AM$177), 0)),""))</f>
        <v/>
      </c>
      <c r="AI156" s="301" t="str">
        <f t="shared" si="24"/>
        <v/>
      </c>
      <c r="AK156" s="469" t="str">
        <f>IF('FT Fee (Franchise)'!C164="","",MAX(AK$10:AK155)+1)</f>
        <v/>
      </c>
      <c r="AL156" s="470" t="str">
        <f>IF(AND('FT Fee (Franchise)'!C164="",'FT Fee (Franchise)'!I164=""),"",'FT Fee (Franchise)'!C164)</f>
        <v/>
      </c>
      <c r="AM156" s="471" t="str">
        <f t="shared" si="22"/>
        <v/>
      </c>
    </row>
    <row r="157" spans="1:39" ht="18.75" x14ac:dyDescent="0.25">
      <c r="A157" s="71">
        <v>144</v>
      </c>
      <c r="B157" s="477" t="str">
        <f t="shared" si="25"/>
        <v/>
      </c>
      <c r="C157" s="478" t="str">
        <f t="shared" si="27"/>
        <v/>
      </c>
      <c r="D157" s="479" t="str">
        <f t="shared" si="26"/>
        <v/>
      </c>
      <c r="E157" s="413">
        <v>3</v>
      </c>
      <c r="F157" s="414">
        <v>144</v>
      </c>
      <c r="K157" s="301" t="str">
        <f>IF(ISERROR(RANK(L157,$L$23:$L$473,1)+COUNTIF($L$23:L157,L157)-1)=TRUE,"",RANK(L157,$L$23:$L$473,1)+COUNTIF($L$23:L157,L157)-1)</f>
        <v/>
      </c>
      <c r="L157" s="301" t="str">
        <f t="shared" si="28"/>
        <v/>
      </c>
      <c r="M157" s="301" t="str">
        <f>IF(AND('FT Fee'!H123="Yes"),VLOOKUP('Fee Summary'!A115,'FT Fee'!$A$22:$K$171,2,FALSE),"")</f>
        <v/>
      </c>
      <c r="N157" s="301" t="str">
        <f>IF(AND('FT Fee'!H123="Yes"),VLOOKUP('Fee Summary'!A115,'FT Fee'!$A$22:$K$171,3,FALSE),"")</f>
        <v/>
      </c>
      <c r="O157" s="301" t="str">
        <f>IF(AND('FT Fee'!H123="Yes"),VLOOKUP('Fee Summary'!A115,'FT Fee'!$A$22:$K$171,9,FALSE),"")</f>
        <v/>
      </c>
      <c r="AG157" s="301" t="str">
        <f t="shared" si="23"/>
        <v/>
      </c>
      <c r="AH157" s="457" t="str">
        <f t="array" ref="AH157">IF(IFERROR(INDEX($AM$11:$AM$177, MATCH(0,COUNTIF($AH$10:AH156,$AM$11:$AM$177), 0)),"")=0,"",IFERROR(INDEX($AM$11:$AM$177, MATCH(0,COUNTIF($AH$10:AH156,$AM$11:$AM$177), 0)),""))</f>
        <v/>
      </c>
      <c r="AI157" s="301" t="str">
        <f t="shared" si="24"/>
        <v/>
      </c>
      <c r="AK157" s="469" t="str">
        <f>IF('FT Fee (Franchise)'!C165="","",MAX(AK$10:AK156)+1)</f>
        <v/>
      </c>
      <c r="AL157" s="470" t="str">
        <f>IF(AND('FT Fee (Franchise)'!C165="",'FT Fee (Franchise)'!I165=""),"",'FT Fee (Franchise)'!C165)</f>
        <v/>
      </c>
      <c r="AM157" s="471" t="str">
        <f t="shared" si="22"/>
        <v/>
      </c>
    </row>
    <row r="158" spans="1:39" ht="18.75" x14ac:dyDescent="0.25">
      <c r="A158" s="70">
        <v>145</v>
      </c>
      <c r="B158" s="477" t="str">
        <f t="shared" si="25"/>
        <v/>
      </c>
      <c r="C158" s="478" t="str">
        <f t="shared" si="27"/>
        <v/>
      </c>
      <c r="D158" s="479" t="str">
        <f t="shared" si="26"/>
        <v/>
      </c>
      <c r="E158" s="413">
        <v>3</v>
      </c>
      <c r="F158" s="414">
        <v>145</v>
      </c>
      <c r="K158" s="301" t="str">
        <f>IF(ISERROR(RANK(L158,$L$23:$L$473,1)+COUNTIF($L$23:L158,L158)-1)=TRUE,"",RANK(L158,$L$23:$L$473,1)+COUNTIF($L$23:L158,L158)-1)</f>
        <v/>
      </c>
      <c r="L158" s="301" t="str">
        <f t="shared" si="28"/>
        <v/>
      </c>
      <c r="M158" s="301" t="str">
        <f>IF(AND('FT Fee'!H124="Yes"),VLOOKUP('Fee Summary'!A116,'FT Fee'!$A$22:$K$171,2,FALSE),"")</f>
        <v/>
      </c>
      <c r="N158" s="301" t="str">
        <f>IF(AND('FT Fee'!H124="Yes"),VLOOKUP('Fee Summary'!A116,'FT Fee'!$A$22:$K$171,3,FALSE),"")</f>
        <v/>
      </c>
      <c r="O158" s="301" t="str">
        <f>IF(AND('FT Fee'!H124="Yes"),VLOOKUP('Fee Summary'!A116,'FT Fee'!$A$22:$K$171,9,FALSE),"")</f>
        <v/>
      </c>
      <c r="AG158" s="301" t="str">
        <f t="shared" si="23"/>
        <v/>
      </c>
      <c r="AH158" s="457" t="str">
        <f t="array" ref="AH158">IF(IFERROR(INDEX($AM$11:$AM$177, MATCH(0,COUNTIF($AH$10:AH157,$AM$11:$AM$177), 0)),"")=0,"",IFERROR(INDEX($AM$11:$AM$177, MATCH(0,COUNTIF($AH$10:AH157,$AM$11:$AM$177), 0)),""))</f>
        <v/>
      </c>
      <c r="AI158" s="301" t="str">
        <f t="shared" si="24"/>
        <v/>
      </c>
      <c r="AK158" s="469" t="str">
        <f>IF('FT Fee (Franchise)'!C166="","",MAX(AK$10:AK157)+1)</f>
        <v/>
      </c>
      <c r="AL158" s="470" t="str">
        <f>IF(AND('FT Fee (Franchise)'!C166="",'FT Fee (Franchise)'!I166=""),"",'FT Fee (Franchise)'!C166)</f>
        <v/>
      </c>
      <c r="AM158" s="471" t="str">
        <f t="shared" si="22"/>
        <v/>
      </c>
    </row>
    <row r="159" spans="1:39" ht="18.75" x14ac:dyDescent="0.25">
      <c r="A159" s="71">
        <v>146</v>
      </c>
      <c r="B159" s="477" t="str">
        <f t="shared" si="25"/>
        <v/>
      </c>
      <c r="C159" s="478" t="str">
        <f t="shared" si="27"/>
        <v/>
      </c>
      <c r="D159" s="479" t="str">
        <f t="shared" si="26"/>
        <v/>
      </c>
      <c r="E159" s="413">
        <v>3</v>
      </c>
      <c r="F159" s="414">
        <v>146</v>
      </c>
      <c r="K159" s="301" t="str">
        <f>IF(ISERROR(RANK(L159,$L$23:$L$473,1)+COUNTIF($L$23:L159,L159)-1)=TRUE,"",RANK(L159,$L$23:$L$473,1)+COUNTIF($L$23:L159,L159)-1)</f>
        <v/>
      </c>
      <c r="L159" s="301" t="str">
        <f t="shared" si="28"/>
        <v/>
      </c>
      <c r="M159" s="301" t="str">
        <f>IF(AND('FT Fee'!H125="Yes"),VLOOKUP('Fee Summary'!A117,'FT Fee'!$A$22:$K$171,2,FALSE),"")</f>
        <v/>
      </c>
      <c r="N159" s="301" t="str">
        <f>IF(AND('FT Fee'!H125="Yes"),VLOOKUP('Fee Summary'!A117,'FT Fee'!$A$22:$K$171,3,FALSE),"")</f>
        <v/>
      </c>
      <c r="O159" s="301" t="str">
        <f>IF(AND('FT Fee'!H125="Yes"),VLOOKUP('Fee Summary'!A117,'FT Fee'!$A$22:$K$171,9,FALSE),"")</f>
        <v/>
      </c>
      <c r="AG159" s="301" t="str">
        <f t="shared" si="23"/>
        <v/>
      </c>
      <c r="AH159" s="457" t="str">
        <f t="array" ref="AH159">IF(IFERROR(INDEX($AM$11:$AM$177, MATCH(0,COUNTIF($AH$10:AH158,$AM$11:$AM$177), 0)),"")=0,"",IFERROR(INDEX($AM$11:$AM$177, MATCH(0,COUNTIF($AH$10:AH158,$AM$11:$AM$177), 0)),""))</f>
        <v/>
      </c>
      <c r="AI159" s="301" t="str">
        <f t="shared" si="24"/>
        <v/>
      </c>
      <c r="AK159" s="469" t="str">
        <f>IF('FT Fee (Franchise)'!C167="","",MAX(AK$10:AK158)+1)</f>
        <v/>
      </c>
      <c r="AL159" s="470" t="str">
        <f>IF(AND('FT Fee (Franchise)'!C167="",'FT Fee (Franchise)'!I167=""),"",'FT Fee (Franchise)'!C167)</f>
        <v/>
      </c>
      <c r="AM159" s="471" t="str">
        <f t="shared" si="22"/>
        <v/>
      </c>
    </row>
    <row r="160" spans="1:39" ht="18.75" x14ac:dyDescent="0.25">
      <c r="A160" s="71">
        <v>147</v>
      </c>
      <c r="B160" s="477" t="str">
        <f t="shared" si="25"/>
        <v/>
      </c>
      <c r="C160" s="478" t="str">
        <f t="shared" si="27"/>
        <v/>
      </c>
      <c r="D160" s="479" t="str">
        <f t="shared" si="26"/>
        <v/>
      </c>
      <c r="E160" s="413">
        <v>3</v>
      </c>
      <c r="F160" s="414">
        <v>147</v>
      </c>
      <c r="K160" s="301" t="str">
        <f>IF(ISERROR(RANK(L160,$L$23:$L$473,1)+COUNTIF($L$23:L160,L160)-1)=TRUE,"",RANK(L160,$L$23:$L$473,1)+COUNTIF($L$23:L160,L160)-1)</f>
        <v/>
      </c>
      <c r="L160" s="301" t="str">
        <f t="shared" si="28"/>
        <v/>
      </c>
      <c r="M160" s="301" t="str">
        <f>IF(AND('FT Fee'!H126="Yes"),VLOOKUP('Fee Summary'!A118,'FT Fee'!$A$22:$K$171,2,FALSE),"")</f>
        <v/>
      </c>
      <c r="N160" s="301" t="str">
        <f>IF(AND('FT Fee'!H126="Yes"),VLOOKUP('Fee Summary'!A118,'FT Fee'!$A$22:$K$171,3,FALSE),"")</f>
        <v/>
      </c>
      <c r="O160" s="301" t="str">
        <f>IF(AND('FT Fee'!H126="Yes"),VLOOKUP('Fee Summary'!A118,'FT Fee'!$A$22:$K$171,9,FALSE),"")</f>
        <v/>
      </c>
      <c r="AG160" s="301" t="str">
        <f t="shared" si="23"/>
        <v/>
      </c>
      <c r="AH160" s="457" t="str">
        <f t="array" ref="AH160">IF(IFERROR(INDEX($AM$11:$AM$177, MATCH(0,COUNTIF($AH$10:AH159,$AM$11:$AM$177), 0)),"")=0,"",IFERROR(INDEX($AM$11:$AM$177, MATCH(0,COUNTIF($AH$10:AH159,$AM$11:$AM$177), 0)),""))</f>
        <v/>
      </c>
      <c r="AI160" s="301" t="str">
        <f t="shared" si="24"/>
        <v/>
      </c>
      <c r="AK160" s="469" t="str">
        <f>IF('FT Fee (Franchise)'!C168="","",MAX(AK$10:AK159)+1)</f>
        <v/>
      </c>
      <c r="AL160" s="470" t="str">
        <f>IF(AND('FT Fee (Franchise)'!C168="",'FT Fee (Franchise)'!I168=""),"",'FT Fee (Franchise)'!C168)</f>
        <v/>
      </c>
      <c r="AM160" s="471" t="str">
        <f t="shared" si="22"/>
        <v/>
      </c>
    </row>
    <row r="161" spans="1:39" ht="18.75" x14ac:dyDescent="0.25">
      <c r="A161" s="71">
        <v>148</v>
      </c>
      <c r="B161" s="477" t="str">
        <f t="shared" si="25"/>
        <v/>
      </c>
      <c r="C161" s="478" t="str">
        <f t="shared" si="27"/>
        <v/>
      </c>
      <c r="D161" s="479" t="str">
        <f t="shared" si="26"/>
        <v/>
      </c>
      <c r="E161" s="413">
        <v>3</v>
      </c>
      <c r="F161" s="414">
        <v>148</v>
      </c>
      <c r="K161" s="301" t="str">
        <f>IF(ISERROR(RANK(L161,$L$23:$L$473,1)+COUNTIF($L$23:L161,L161)-1)=TRUE,"",RANK(L161,$L$23:$L$473,1)+COUNTIF($L$23:L161,L161)-1)</f>
        <v/>
      </c>
      <c r="L161" s="301" t="str">
        <f t="shared" si="28"/>
        <v/>
      </c>
      <c r="M161" s="301" t="str">
        <f>IF(AND('FT Fee'!H127="Yes"),VLOOKUP('Fee Summary'!A119,'FT Fee'!$A$22:$K$171,2,FALSE),"")</f>
        <v/>
      </c>
      <c r="N161" s="301" t="str">
        <f>IF(AND('FT Fee'!H127="Yes"),VLOOKUP('Fee Summary'!A119,'FT Fee'!$A$22:$K$171,3,FALSE),"")</f>
        <v/>
      </c>
      <c r="O161" s="301" t="str">
        <f>IF(AND('FT Fee'!H127="Yes"),VLOOKUP('Fee Summary'!A119,'FT Fee'!$A$22:$K$171,9,FALSE),"")</f>
        <v/>
      </c>
      <c r="AG161" s="301" t="str">
        <f t="shared" si="23"/>
        <v/>
      </c>
      <c r="AH161" s="457" t="str">
        <f t="array" ref="AH161">IF(IFERROR(INDEX($AM$11:$AM$177, MATCH(0,COUNTIF($AH$10:AH160,$AM$11:$AM$177), 0)),"")=0,"",IFERROR(INDEX($AM$11:$AM$177, MATCH(0,COUNTIF($AH$10:AH160,$AM$11:$AM$177), 0)),""))</f>
        <v/>
      </c>
      <c r="AI161" s="301" t="str">
        <f t="shared" si="24"/>
        <v/>
      </c>
      <c r="AK161" s="469" t="str">
        <f>IF('FT Fee (Franchise)'!C169="","",MAX(AK$10:AK160)+1)</f>
        <v/>
      </c>
      <c r="AL161" s="470" t="str">
        <f>IF(AND('FT Fee (Franchise)'!C169="",'FT Fee (Franchise)'!I169=""),"",'FT Fee (Franchise)'!C169)</f>
        <v/>
      </c>
      <c r="AM161" s="471" t="str">
        <f t="shared" si="22"/>
        <v/>
      </c>
    </row>
    <row r="162" spans="1:39" ht="18.75" x14ac:dyDescent="0.25">
      <c r="A162" s="70">
        <v>149</v>
      </c>
      <c r="B162" s="477" t="str">
        <f t="shared" si="25"/>
        <v/>
      </c>
      <c r="C162" s="478" t="str">
        <f t="shared" si="27"/>
        <v/>
      </c>
      <c r="D162" s="479" t="str">
        <f t="shared" si="26"/>
        <v/>
      </c>
      <c r="E162" s="413">
        <v>3</v>
      </c>
      <c r="F162" s="414">
        <v>149</v>
      </c>
      <c r="K162" s="301" t="str">
        <f>IF(ISERROR(RANK(L162,$L$23:$L$473,1)+COUNTIF($L$23:L162,L162)-1)=TRUE,"",RANK(L162,$L$23:$L$473,1)+COUNTIF($L$23:L162,L162)-1)</f>
        <v/>
      </c>
      <c r="L162" s="301" t="str">
        <f t="shared" si="28"/>
        <v/>
      </c>
      <c r="M162" s="301" t="str">
        <f>IF(AND('FT Fee'!H128="Yes"),VLOOKUP('Fee Summary'!A120,'FT Fee'!$A$22:$K$171,2,FALSE),"")</f>
        <v/>
      </c>
      <c r="N162" s="301" t="str">
        <f>IF(AND('FT Fee'!H128="Yes"),VLOOKUP('Fee Summary'!A120,'FT Fee'!$A$22:$K$171,3,FALSE),"")</f>
        <v/>
      </c>
      <c r="O162" s="301" t="str">
        <f>IF(AND('FT Fee'!H128="Yes"),VLOOKUP('Fee Summary'!A120,'FT Fee'!$A$22:$K$171,9,FALSE),"")</f>
        <v/>
      </c>
      <c r="AH162" s="457" t="str">
        <f t="array" ref="AH162">IF(IFERROR(INDEX($AM$11:$AM$177, MATCH(0,COUNTIF($AH$10:AH161,$AM$11:$AM$177), 0)),"")=0,"",IFERROR(INDEX($AM$11:$AM$177, MATCH(0,COUNTIF($AH$10:AH161,$AM$11:$AM$177), 0)),""))</f>
        <v/>
      </c>
      <c r="AK162" s="469" t="str">
        <f>IF('FT Fee (Franchise)'!C170="","",MAX(AK$10:AK161)+1)</f>
        <v/>
      </c>
      <c r="AL162" s="470" t="str">
        <f>IF(AND('FT Fee (Franchise)'!C170="",'FT Fee (Franchise)'!I170=""),"",'FT Fee (Franchise)'!C170)</f>
        <v/>
      </c>
      <c r="AM162" s="471" t="str">
        <f t="shared" si="22"/>
        <v/>
      </c>
    </row>
    <row r="163" spans="1:39" ht="18.75" x14ac:dyDescent="0.25">
      <c r="A163" s="71">
        <v>150</v>
      </c>
      <c r="B163" s="480" t="str">
        <f t="shared" si="25"/>
        <v/>
      </c>
      <c r="C163" s="481" t="str">
        <f t="shared" si="27"/>
        <v/>
      </c>
      <c r="D163" s="482" t="str">
        <f t="shared" si="26"/>
        <v/>
      </c>
      <c r="E163" s="413">
        <v>3</v>
      </c>
      <c r="F163" s="414">
        <v>150</v>
      </c>
      <c r="K163" s="301" t="str">
        <f>IF(ISERROR(RANK(L163,$L$23:$L$473,1)+COUNTIF($L$23:L163,L163)-1)=TRUE,"",RANK(L163,$L$23:$L$473,1)+COUNTIF($L$23:L163,L163)-1)</f>
        <v/>
      </c>
      <c r="L163" s="301" t="str">
        <f t="shared" si="28"/>
        <v/>
      </c>
      <c r="M163" s="301" t="str">
        <f>IF(AND('FT Fee'!H129="Yes"),VLOOKUP('Fee Summary'!A121,'FT Fee'!$A$22:$K$171,2,FALSE),"")</f>
        <v/>
      </c>
      <c r="N163" s="301" t="str">
        <f>IF(AND('FT Fee'!H129="Yes"),VLOOKUP('Fee Summary'!A121,'FT Fee'!$A$22:$K$171,3,FALSE),"")</f>
        <v/>
      </c>
      <c r="O163" s="301" t="str">
        <f>IF(AND('FT Fee'!H129="Yes"),VLOOKUP('Fee Summary'!A121,'FT Fee'!$A$22:$K$171,9,FALSE),"")</f>
        <v/>
      </c>
      <c r="AG163" s="301" t="str">
        <f t="shared" ref="AG163:AG226" si="29">IF(AH163="","",AG162+1)</f>
        <v/>
      </c>
      <c r="AH163" s="457" t="str">
        <f t="array" ref="AH163">IF(IFERROR(INDEX($AM$11:$AM$177, MATCH(0,COUNTIF($AH$10:AH162,$AM$11:$AM$177), 0)),"")=0,"",IFERROR(INDEX($AM$11:$AM$177, MATCH(0,COUNTIF($AH$10:AH162,$AM$11:$AM$177), 0)),""))</f>
        <v/>
      </c>
      <c r="AK163" s="469" t="str">
        <f>IF('FT Fee (Franchise)'!C171="","",MAX(AK$10:AK162)+1)</f>
        <v/>
      </c>
      <c r="AL163" s="470" t="str">
        <f>IF(AND('FT Fee (Franchise)'!C171="",'FT Fee (Franchise)'!I171=""),"",'FT Fee (Franchise)'!C171)</f>
        <v/>
      </c>
      <c r="AM163" s="471" t="str">
        <f t="shared" si="22"/>
        <v/>
      </c>
    </row>
    <row r="164" spans="1:39" ht="18.75" hidden="1" x14ac:dyDescent="0.25">
      <c r="K164" s="301" t="str">
        <f>IF(ISERROR(RANK(L164,$L$23:$L$473,1)+COUNTIF($L$23:L164,L164)-1)=TRUE,"",RANK(L164,$L$23:$L$473,1)+COUNTIF($L$23:L164,L164)-1)</f>
        <v/>
      </c>
      <c r="L164" s="301" t="str">
        <f t="shared" si="28"/>
        <v/>
      </c>
      <c r="M164" s="301" t="str">
        <f>IF(AND('FT Fee'!H130="Yes"),VLOOKUP('Fee Summary'!A122,'FT Fee'!$A$22:$K$171,2,FALSE),"")</f>
        <v/>
      </c>
      <c r="N164" s="301" t="str">
        <f>IF(AND('FT Fee'!H130="Yes"),VLOOKUP('Fee Summary'!A122,'FT Fee'!$A$22:$K$171,3,FALSE),"")</f>
        <v/>
      </c>
      <c r="O164" s="301" t="str">
        <f>IF(AND('FT Fee'!H130="Yes"),VLOOKUP('Fee Summary'!A122,'FT Fee'!$A$22:$K$171,9,FALSE),"")</f>
        <v/>
      </c>
      <c r="AG164" s="301" t="str">
        <f t="shared" si="29"/>
        <v/>
      </c>
      <c r="AH164" s="457" t="str">
        <f t="array" ref="AH164">IF(IFERROR(INDEX($AM$11:$AM$177, MATCH(0,COUNTIF($AH$10:AH163,$AM$11:$AM$177), 0)),"")=0,"",IFERROR(INDEX($AM$11:$AM$177, MATCH(0,COUNTIF($AH$10:AH163,$AM$11:$AM$177), 0)),""))</f>
        <v/>
      </c>
      <c r="AK164" s="469" t="str">
        <f>IF('FT Fee (Franchise)'!C172="","",MAX(AK$10:AK163)+1)</f>
        <v/>
      </c>
      <c r="AL164" s="470" t="str">
        <f>IF(AND('FT Fee (Franchise)'!C172="",'FT Fee (Franchise)'!I172=""),"",'FT Fee (Franchise)'!C172)</f>
        <v/>
      </c>
      <c r="AM164" s="471" t="str">
        <f t="shared" si="22"/>
        <v/>
      </c>
    </row>
    <row r="165" spans="1:39" ht="18.75" hidden="1" x14ac:dyDescent="0.25">
      <c r="K165" s="301" t="str">
        <f>IF(ISERROR(RANK(L165,$L$23:$L$473,1)+COUNTIF($L$23:L165,L165)-1)=TRUE,"",RANK(L165,$L$23:$L$473,1)+COUNTIF($L$23:L165,L165)-1)</f>
        <v/>
      </c>
      <c r="L165" s="301" t="str">
        <f t="shared" si="28"/>
        <v/>
      </c>
      <c r="M165" s="301" t="str">
        <f>IF(AND('FT Fee'!H131="Yes"),VLOOKUP('Fee Summary'!A123,'FT Fee'!$A$22:$K$171,2,FALSE),"")</f>
        <v/>
      </c>
      <c r="N165" s="301" t="str">
        <f>IF(AND('FT Fee'!H131="Yes"),VLOOKUP('Fee Summary'!A123,'FT Fee'!$A$22:$K$171,3,FALSE),"")</f>
        <v/>
      </c>
      <c r="O165" s="301" t="str">
        <f>IF(AND('FT Fee'!H131="Yes"),VLOOKUP('Fee Summary'!A123,'FT Fee'!$A$22:$K$171,9,FALSE),"")</f>
        <v/>
      </c>
      <c r="AG165" s="301" t="str">
        <f t="shared" si="29"/>
        <v/>
      </c>
      <c r="AH165" s="457" t="str">
        <f t="array" ref="AH165">IF(IFERROR(INDEX($AM$11:$AM$177, MATCH(0,COUNTIF($AH$10:AH164,$AM$11:$AM$177), 0)),"")=0,"",IFERROR(INDEX($AM$11:$AM$177, MATCH(0,COUNTIF($AH$10:AH164,$AM$11:$AM$177), 0)),""))</f>
        <v/>
      </c>
      <c r="AK165" s="469" t="str">
        <f>IF('FT Fee (Franchise)'!C173="","",MAX(AK$10:AK164)+1)</f>
        <v/>
      </c>
      <c r="AL165" s="470" t="str">
        <f>IF(AND('FT Fee (Franchise)'!C173="",'FT Fee (Franchise)'!I173=""),"",'FT Fee (Franchise)'!C173)</f>
        <v/>
      </c>
      <c r="AM165" s="471" t="str">
        <f t="shared" si="22"/>
        <v/>
      </c>
    </row>
    <row r="166" spans="1:39" ht="18.75" hidden="1" x14ac:dyDescent="0.25">
      <c r="K166" s="301" t="str">
        <f>IF(ISERROR(RANK(L166,$L$23:$L$473,1)+COUNTIF($L$23:L166,L166)-1)=TRUE,"",RANK(L166,$L$23:$L$473,1)+COUNTIF($L$23:L166,L166)-1)</f>
        <v/>
      </c>
      <c r="L166" s="301" t="str">
        <f t="shared" si="28"/>
        <v/>
      </c>
      <c r="M166" s="301" t="str">
        <f>IF(AND('FT Fee'!H132="Yes"),VLOOKUP('Fee Summary'!A124,'FT Fee'!$A$22:$K$171,2,FALSE),"")</f>
        <v/>
      </c>
      <c r="N166" s="301" t="str">
        <f>IF(AND('FT Fee'!H132="Yes"),VLOOKUP('Fee Summary'!A124,'FT Fee'!$A$22:$K$171,3,FALSE),"")</f>
        <v/>
      </c>
      <c r="O166" s="301" t="str">
        <f>IF(AND('FT Fee'!H132="Yes"),VLOOKUP('Fee Summary'!A124,'FT Fee'!$A$22:$K$171,9,FALSE),"")</f>
        <v/>
      </c>
      <c r="AG166" s="301" t="str">
        <f t="shared" si="29"/>
        <v/>
      </c>
      <c r="AH166" s="457" t="str">
        <f t="array" ref="AH166">IF(IFERROR(INDEX($AM$11:$AM$177, MATCH(0,COUNTIF($AH$10:AH165,$AM$11:$AM$177), 0)),"")=0,"",IFERROR(INDEX($AM$11:$AM$177, MATCH(0,COUNTIF($AH$10:AH165,$AM$11:$AM$177), 0)),""))</f>
        <v/>
      </c>
      <c r="AK166" s="469" t="str">
        <f>IF('FT Fee (Franchise)'!C174="","",MAX(AK$10:AK165)+1)</f>
        <v/>
      </c>
      <c r="AL166" s="470" t="str">
        <f>IF(AND('FT Fee (Franchise)'!C174="",'FT Fee (Franchise)'!I174=""),"",'FT Fee (Franchise)'!C174)</f>
        <v/>
      </c>
      <c r="AM166" s="471" t="str">
        <f t="shared" si="22"/>
        <v/>
      </c>
    </row>
    <row r="167" spans="1:39" ht="18.75" hidden="1" x14ac:dyDescent="0.25">
      <c r="K167" s="301" t="str">
        <f>IF(ISERROR(RANK(L167,$L$23:$L$473,1)+COUNTIF($L$23:L167,L167)-1)=TRUE,"",RANK(L167,$L$23:$L$473,1)+COUNTIF($L$23:L167,L167)-1)</f>
        <v/>
      </c>
      <c r="L167" s="301" t="str">
        <f t="shared" si="28"/>
        <v/>
      </c>
      <c r="M167" s="301" t="str">
        <f>IF(AND('FT Fee'!H133="Yes"),VLOOKUP('Fee Summary'!A125,'FT Fee'!$A$22:$K$171,2,FALSE),"")</f>
        <v/>
      </c>
      <c r="N167" s="301" t="str">
        <f>IF(AND('FT Fee'!H133="Yes"),VLOOKUP('Fee Summary'!A125,'FT Fee'!$A$22:$K$171,3,FALSE),"")</f>
        <v/>
      </c>
      <c r="O167" s="301" t="str">
        <f>IF(AND('FT Fee'!H133="Yes"),VLOOKUP('Fee Summary'!A125,'FT Fee'!$A$22:$K$171,9,FALSE),"")</f>
        <v/>
      </c>
      <c r="AG167" s="301" t="str">
        <f t="shared" si="29"/>
        <v/>
      </c>
      <c r="AH167" s="457" t="str">
        <f t="array" ref="AH167">IF(IFERROR(INDEX($AM$11:$AM$177, MATCH(0,COUNTIF($AH$10:AH166,$AM$11:$AM$177), 0)),"")=0,"",IFERROR(INDEX($AM$11:$AM$177, MATCH(0,COUNTIF($AH$10:AH166,$AM$11:$AM$177), 0)),""))</f>
        <v/>
      </c>
      <c r="AK167" s="469" t="str">
        <f>IF('FT Fee (Franchise)'!C175="","",MAX(AK$10:AK166)+1)</f>
        <v/>
      </c>
      <c r="AL167" s="470" t="str">
        <f>IF(AND('FT Fee (Franchise)'!C175="",'FT Fee (Franchise)'!I175=""),"",'FT Fee (Franchise)'!C175)</f>
        <v/>
      </c>
      <c r="AM167" s="471" t="str">
        <f t="shared" si="22"/>
        <v/>
      </c>
    </row>
    <row r="168" spans="1:39" ht="18.75" hidden="1" x14ac:dyDescent="0.25">
      <c r="K168" s="301" t="str">
        <f>IF(ISERROR(RANK(L168,$L$23:$L$473,1)+COUNTIF($L$23:L168,L168)-1)=TRUE,"",RANK(L168,$L$23:$L$473,1)+COUNTIF($L$23:L168,L168)-1)</f>
        <v/>
      </c>
      <c r="L168" s="301" t="str">
        <f t="shared" si="28"/>
        <v/>
      </c>
      <c r="M168" s="301" t="str">
        <f>IF(AND('FT Fee'!H134="Yes"),VLOOKUP('Fee Summary'!A126,'FT Fee'!$A$22:$K$171,2,FALSE),"")</f>
        <v/>
      </c>
      <c r="N168" s="301" t="str">
        <f>IF(AND('FT Fee'!H134="Yes"),VLOOKUP('Fee Summary'!A126,'FT Fee'!$A$22:$K$171,3,FALSE),"")</f>
        <v/>
      </c>
      <c r="O168" s="301" t="str">
        <f>IF(AND('FT Fee'!H134="Yes"),VLOOKUP('Fee Summary'!A126,'FT Fee'!$A$22:$K$171,9,FALSE),"")</f>
        <v/>
      </c>
      <c r="AG168" s="301" t="str">
        <f t="shared" si="29"/>
        <v/>
      </c>
      <c r="AH168" s="457" t="str">
        <f t="array" ref="AH168">IF(IFERROR(INDEX($AM$11:$AM$177, MATCH(0,COUNTIF($AH$10:AH167,$AM$11:$AM$177), 0)),"")=0,"",IFERROR(INDEX($AM$11:$AM$177, MATCH(0,COUNTIF($AH$10:AH167,$AM$11:$AM$177), 0)),""))</f>
        <v/>
      </c>
      <c r="AK168" s="469" t="str">
        <f>IF('FT Fee (Franchise)'!C176="","",MAX(AK$10:AK167)+1)</f>
        <v/>
      </c>
      <c r="AL168" s="470" t="str">
        <f>IF(AND('FT Fee (Franchise)'!C176="",'FT Fee (Franchise)'!I176=""),"",'FT Fee (Franchise)'!C176)</f>
        <v/>
      </c>
      <c r="AM168" s="471" t="str">
        <f t="shared" si="22"/>
        <v/>
      </c>
    </row>
    <row r="169" spans="1:39" ht="18.75" hidden="1" x14ac:dyDescent="0.25">
      <c r="K169" s="301" t="str">
        <f>IF(ISERROR(RANK(L169,$L$23:$L$473,1)+COUNTIF($L$23:L169,L169)-1)=TRUE,"",RANK(L169,$L$23:$L$473,1)+COUNTIF($L$23:L169,L169)-1)</f>
        <v/>
      </c>
      <c r="L169" s="301" t="str">
        <f t="shared" si="28"/>
        <v/>
      </c>
      <c r="M169" s="301" t="str">
        <f>IF(AND('FT Fee'!H135="Yes"),VLOOKUP('Fee Summary'!A127,'FT Fee'!$A$22:$K$171,2,FALSE),"")</f>
        <v/>
      </c>
      <c r="N169" s="301" t="str">
        <f>IF(AND('FT Fee'!H135="Yes"),VLOOKUP('Fee Summary'!A127,'FT Fee'!$A$22:$K$171,3,FALSE),"")</f>
        <v/>
      </c>
      <c r="O169" s="301" t="str">
        <f>IF(AND('FT Fee'!H135="Yes"),VLOOKUP('Fee Summary'!A127,'FT Fee'!$A$22:$K$171,9,FALSE),"")</f>
        <v/>
      </c>
      <c r="AG169" s="301" t="str">
        <f t="shared" si="29"/>
        <v/>
      </c>
      <c r="AH169" s="457" t="str">
        <f t="array" ref="AH169">IF(IFERROR(INDEX($AM$11:$AM$177, MATCH(0,COUNTIF($AH$10:AH168,$AM$11:$AM$177), 0)),"")=0,"",IFERROR(INDEX($AM$11:$AM$177, MATCH(0,COUNTIF($AH$10:AH168,$AM$11:$AM$177), 0)),""))</f>
        <v/>
      </c>
      <c r="AK169" s="469" t="str">
        <f>IF('FT Fee (Franchise)'!C177="","",MAX(AK$10:AK168)+1)</f>
        <v/>
      </c>
      <c r="AL169" s="470" t="str">
        <f>IF(AND('FT Fee (Franchise)'!C177="",'FT Fee (Franchise)'!I177=""),"",'FT Fee (Franchise)'!C177)</f>
        <v/>
      </c>
      <c r="AM169" s="471" t="str">
        <f t="shared" si="22"/>
        <v/>
      </c>
    </row>
    <row r="170" spans="1:39" ht="18.75" hidden="1" x14ac:dyDescent="0.25">
      <c r="K170" s="301" t="str">
        <f>IF(ISERROR(RANK(L170,$L$23:$L$473,1)+COUNTIF($L$23:L170,L170)-1)=TRUE,"",RANK(L170,$L$23:$L$473,1)+COUNTIF($L$23:L170,L170)-1)</f>
        <v/>
      </c>
      <c r="L170" s="301" t="str">
        <f t="shared" si="28"/>
        <v/>
      </c>
      <c r="M170" s="301" t="str">
        <f>IF(AND('FT Fee'!H136="Yes"),VLOOKUP('Fee Summary'!A128,'FT Fee'!$A$22:$K$171,2,FALSE),"")</f>
        <v/>
      </c>
      <c r="N170" s="301" t="str">
        <f>IF(AND('FT Fee'!H136="Yes"),VLOOKUP('Fee Summary'!A128,'FT Fee'!$A$22:$K$171,3,FALSE),"")</f>
        <v/>
      </c>
      <c r="O170" s="301" t="str">
        <f>IF(AND('FT Fee'!H136="Yes"),VLOOKUP('Fee Summary'!A128,'FT Fee'!$A$22:$K$171,9,FALSE),"")</f>
        <v/>
      </c>
      <c r="AG170" s="301" t="str">
        <f t="shared" si="29"/>
        <v/>
      </c>
      <c r="AH170" s="457" t="str">
        <f t="array" ref="AH170">IF(IFERROR(INDEX($AM$11:$AM$177, MATCH(0,COUNTIF($AH$10:AH169,$AM$11:$AM$177), 0)),"")=0,"",IFERROR(INDEX($AM$11:$AM$177, MATCH(0,COUNTIF($AH$10:AH169,$AM$11:$AM$177), 0)),""))</f>
        <v/>
      </c>
      <c r="AK170" s="469" t="str">
        <f>IF('FT Fee (Franchise)'!C178="","",MAX(AK$10:AK169)+1)</f>
        <v/>
      </c>
      <c r="AL170" s="470" t="str">
        <f>IF(AND('FT Fee (Franchise)'!C178="",'FT Fee (Franchise)'!I178=""),"",'FT Fee (Franchise)'!C178)</f>
        <v/>
      </c>
      <c r="AM170" s="471" t="str">
        <f t="shared" si="22"/>
        <v/>
      </c>
    </row>
    <row r="171" spans="1:39" ht="18.75" hidden="1" x14ac:dyDescent="0.25">
      <c r="K171" s="301" t="str">
        <f>IF(ISERROR(RANK(L171,$L$23:$L$473,1)+COUNTIF($L$23:L171,L171)-1)=TRUE,"",RANK(L171,$L$23:$L$473,1)+COUNTIF($L$23:L171,L171)-1)</f>
        <v/>
      </c>
      <c r="L171" s="301" t="str">
        <f t="shared" si="28"/>
        <v/>
      </c>
      <c r="M171" s="301" t="str">
        <f>IF(AND('FT Fee'!H137="Yes"),VLOOKUP('Fee Summary'!A129,'FT Fee'!$A$22:$K$171,2,FALSE),"")</f>
        <v/>
      </c>
      <c r="N171" s="301" t="str">
        <f>IF(AND('FT Fee'!H137="Yes"),VLOOKUP('Fee Summary'!A129,'FT Fee'!$A$22:$K$171,3,FALSE),"")</f>
        <v/>
      </c>
      <c r="O171" s="301" t="str">
        <f>IF(AND('FT Fee'!H137="Yes"),VLOOKUP('Fee Summary'!A129,'FT Fee'!$A$22:$K$171,9,FALSE),"")</f>
        <v/>
      </c>
      <c r="AG171" s="301" t="str">
        <f t="shared" si="29"/>
        <v/>
      </c>
      <c r="AH171" s="457" t="str">
        <f t="array" ref="AH171">IF(IFERROR(INDEX($AM$11:$AM$177, MATCH(0,COUNTIF($AH$10:AH170,$AM$11:$AM$177), 0)),"")=0,"",IFERROR(INDEX($AM$11:$AM$177, MATCH(0,COUNTIF($AH$10:AH170,$AM$11:$AM$177), 0)),""))</f>
        <v/>
      </c>
      <c r="AK171" s="469" t="str">
        <f>IF('FT Fee (Franchise)'!C179="","",MAX(AK$10:AK170)+1)</f>
        <v/>
      </c>
      <c r="AL171" s="470" t="str">
        <f>IF(AND('FT Fee (Franchise)'!C179="",'FT Fee (Franchise)'!I179=""),"",'FT Fee (Franchise)'!C179)</f>
        <v/>
      </c>
      <c r="AM171" s="471" t="str">
        <f t="shared" ref="AM171:AM176" si="30">IFERROR(INDEX($AL$11:$AL$177,MATCH(ROW()-ROW($AM$10),$AK$11:$AK$177,0)),"")</f>
        <v/>
      </c>
    </row>
    <row r="172" spans="1:39" ht="18.75" hidden="1" x14ac:dyDescent="0.25">
      <c r="K172" s="301" t="str">
        <f>IF(ISERROR(RANK(L172,$L$23:$L$473,1)+COUNTIF($L$23:L172,L172)-1)=TRUE,"",RANK(L172,$L$23:$L$473,1)+COUNTIF($L$23:L172,L172)-1)</f>
        <v/>
      </c>
      <c r="L172" s="301" t="str">
        <f t="shared" si="28"/>
        <v/>
      </c>
      <c r="M172" s="301" t="str">
        <f>IF(AND('FT Fee'!H138="Yes"),VLOOKUP('Fee Summary'!A130,'FT Fee'!$A$22:$K$171,2,FALSE),"")</f>
        <v/>
      </c>
      <c r="N172" s="301" t="str">
        <f>IF(AND('FT Fee'!H138="Yes"),VLOOKUP('Fee Summary'!A130,'FT Fee'!$A$22:$K$171,3,FALSE),"")</f>
        <v/>
      </c>
      <c r="O172" s="301" t="str">
        <f>IF(AND('FT Fee'!H138="Yes"),VLOOKUP('Fee Summary'!A130,'FT Fee'!$A$22:$K$171,9,FALSE),"")</f>
        <v/>
      </c>
      <c r="AG172" s="301" t="str">
        <f t="shared" si="29"/>
        <v/>
      </c>
      <c r="AH172" s="457" t="str">
        <f t="array" ref="AH172">IF(IFERROR(INDEX($AM$11:$AM$177, MATCH(0,COUNTIF($AH$10:AH171,$AM$11:$AM$177), 0)),"")=0,"",IFERROR(INDEX($AM$11:$AM$177, MATCH(0,COUNTIF($AH$10:AH171,$AM$11:$AM$177), 0)),""))</f>
        <v/>
      </c>
      <c r="AK172" s="469" t="str">
        <f>IF('FT Fee (Franchise)'!C180="","",MAX(AK$10:AK171)+1)</f>
        <v/>
      </c>
      <c r="AL172" s="470" t="str">
        <f>IF(AND('FT Fee (Franchise)'!C180="",'FT Fee (Franchise)'!I180=""),"",'FT Fee (Franchise)'!C180)</f>
        <v/>
      </c>
      <c r="AM172" s="471" t="str">
        <f t="shared" si="30"/>
        <v/>
      </c>
    </row>
    <row r="173" spans="1:39" ht="18.75" hidden="1" x14ac:dyDescent="0.25">
      <c r="K173" s="301" t="str">
        <f>IF(ISERROR(RANK(L173,$L$23:$L$473,1)+COUNTIF($L$23:L173,L173)-1)=TRUE,"",RANK(L173,$L$23:$L$473,1)+COUNTIF($L$23:L173,L173)-1)</f>
        <v/>
      </c>
      <c r="L173" s="301" t="str">
        <f t="shared" si="28"/>
        <v/>
      </c>
      <c r="M173" s="301" t="str">
        <f>IF(AND('FT Fee'!H139="Yes"),VLOOKUP('Fee Summary'!A131,'FT Fee'!$A$22:$K$171,2,FALSE),"")</f>
        <v/>
      </c>
      <c r="N173" s="301" t="str">
        <f>IF(AND('FT Fee'!H139="Yes"),VLOOKUP('Fee Summary'!A131,'FT Fee'!$A$22:$K$171,3,FALSE),"")</f>
        <v/>
      </c>
      <c r="O173" s="301" t="str">
        <f>IF(AND('FT Fee'!H139="Yes"),VLOOKUP('Fee Summary'!A131,'FT Fee'!$A$22:$K$171,9,FALSE),"")</f>
        <v/>
      </c>
      <c r="AG173" s="301" t="str">
        <f t="shared" si="29"/>
        <v/>
      </c>
      <c r="AH173" s="457" t="str">
        <f t="array" ref="AH173">IF(IFERROR(INDEX($AM$11:$AM$177, MATCH(0,COUNTIF($AH$10:AH172,$AM$11:$AM$177), 0)),"")=0,"",IFERROR(INDEX($AM$11:$AM$177, MATCH(0,COUNTIF($AH$10:AH172,$AM$11:$AM$177), 0)),""))</f>
        <v/>
      </c>
      <c r="AK173" s="469" t="str">
        <f>IF('FT Fee (Franchise)'!C181="","",MAX(AK$10:AK172)+1)</f>
        <v/>
      </c>
      <c r="AL173" s="470" t="str">
        <f>IF(AND('FT Fee (Franchise)'!C181="",'FT Fee (Franchise)'!I181=""),"",'FT Fee (Franchise)'!C181)</f>
        <v/>
      </c>
      <c r="AM173" s="471" t="str">
        <f t="shared" si="30"/>
        <v/>
      </c>
    </row>
    <row r="174" spans="1:39" ht="18.75" hidden="1" x14ac:dyDescent="0.25">
      <c r="K174" s="301" t="str">
        <f>IF(ISERROR(RANK(L174,$L$23:$L$473,1)+COUNTIF($L$23:L174,L174)-1)=TRUE,"",RANK(L174,$L$23:$L$473,1)+COUNTIF($L$23:L174,L174)-1)</f>
        <v/>
      </c>
      <c r="L174" s="301" t="str">
        <f t="shared" si="28"/>
        <v/>
      </c>
      <c r="M174" s="301" t="str">
        <f>IF(AND('FT Fee'!H140="Yes"),VLOOKUP('Fee Summary'!A132,'FT Fee'!$A$22:$K$171,2,FALSE),"")</f>
        <v/>
      </c>
      <c r="N174" s="301" t="str">
        <f>IF(AND('FT Fee'!H140="Yes"),VLOOKUP('Fee Summary'!A132,'FT Fee'!$A$22:$K$171,3,FALSE),"")</f>
        <v/>
      </c>
      <c r="O174" s="301" t="str">
        <f>IF(AND('FT Fee'!H140="Yes"),VLOOKUP('Fee Summary'!A132,'FT Fee'!$A$22:$K$171,9,FALSE),"")</f>
        <v/>
      </c>
      <c r="AG174" s="301" t="str">
        <f t="shared" si="29"/>
        <v/>
      </c>
      <c r="AH174" s="457" t="str">
        <f t="array" ref="AH174">IF(IFERROR(INDEX($AM$11:$AM$177, MATCH(0,COUNTIF($AH$10:AH173,$AM$11:$AM$177), 0)),"")=0,"",IFERROR(INDEX($AM$11:$AM$177, MATCH(0,COUNTIF($AH$10:AH173,$AM$11:$AM$177), 0)),""))</f>
        <v/>
      </c>
      <c r="AK174" s="469" t="str">
        <f>IF('FT Fee (Franchise)'!C182="","",MAX(AK$10:AK173)+1)</f>
        <v/>
      </c>
      <c r="AL174" s="470" t="str">
        <f>IF(AND('FT Fee (Franchise)'!C182="",'FT Fee (Franchise)'!I182=""),"",'FT Fee (Franchise)'!C182)</f>
        <v/>
      </c>
      <c r="AM174" s="471" t="str">
        <f t="shared" si="30"/>
        <v/>
      </c>
    </row>
    <row r="175" spans="1:39" ht="18.75" hidden="1" x14ac:dyDescent="0.25">
      <c r="K175" s="301" t="str">
        <f>IF(ISERROR(RANK(L175,$L$23:$L$473,1)+COUNTIF($L$23:L175,L175)-1)=TRUE,"",RANK(L175,$L$23:$L$473,1)+COUNTIF($L$23:L175,L175)-1)</f>
        <v/>
      </c>
      <c r="L175" s="301" t="str">
        <f t="shared" si="28"/>
        <v/>
      </c>
      <c r="M175" s="301" t="str">
        <f>IF(AND('FT Fee'!H141="Yes"),VLOOKUP('Fee Summary'!A133,'FT Fee'!$A$22:$K$171,2,FALSE),"")</f>
        <v/>
      </c>
      <c r="N175" s="301" t="str">
        <f>IF(AND('FT Fee'!H141="Yes"),VLOOKUP('Fee Summary'!A133,'FT Fee'!$A$22:$K$171,3,FALSE),"")</f>
        <v/>
      </c>
      <c r="O175" s="301" t="str">
        <f>IF(AND('FT Fee'!H141="Yes"),VLOOKUP('Fee Summary'!A133,'FT Fee'!$A$22:$K$171,9,FALSE),"")</f>
        <v/>
      </c>
      <c r="AG175" s="301" t="str">
        <f t="shared" si="29"/>
        <v/>
      </c>
      <c r="AH175" s="457" t="str">
        <f t="array" ref="AH175">IF(IFERROR(INDEX($AM$11:$AM$177, MATCH(0,COUNTIF($AH$10:AH174,$AM$11:$AM$177), 0)),"")=0,"",IFERROR(INDEX($AM$11:$AM$177, MATCH(0,COUNTIF($AH$10:AH174,$AM$11:$AM$177), 0)),""))</f>
        <v/>
      </c>
      <c r="AK175" s="469" t="str">
        <f>IF('FT Fee (Franchise)'!C183="","",MAX(AK$10:AK174)+1)</f>
        <v/>
      </c>
      <c r="AL175" s="470" t="str">
        <f>IF(AND('FT Fee (Franchise)'!C183="",'FT Fee (Franchise)'!I183=""),"",'FT Fee (Franchise)'!C183)</f>
        <v/>
      </c>
      <c r="AM175" s="471" t="str">
        <f t="shared" si="30"/>
        <v/>
      </c>
    </row>
    <row r="176" spans="1:39" ht="18.75" hidden="1" x14ac:dyDescent="0.25">
      <c r="K176" s="301" t="str">
        <f>IF(ISERROR(RANK(L176,$L$23:$L$473,1)+COUNTIF($L$23:L176,L176)-1)=TRUE,"",RANK(L176,$L$23:$L$473,1)+COUNTIF($L$23:L176,L176)-1)</f>
        <v/>
      </c>
      <c r="L176" s="301" t="str">
        <f t="shared" si="28"/>
        <v/>
      </c>
      <c r="M176" s="301" t="str">
        <f>IF(AND('FT Fee'!H142="Yes"),VLOOKUP('Fee Summary'!A134,'FT Fee'!$A$22:$K$171,2,FALSE),"")</f>
        <v/>
      </c>
      <c r="N176" s="301" t="str">
        <f>IF(AND('FT Fee'!H142="Yes"),VLOOKUP('Fee Summary'!A134,'FT Fee'!$A$22:$K$171,3,FALSE),"")</f>
        <v/>
      </c>
      <c r="O176" s="301" t="str">
        <f>IF(AND('FT Fee'!H142="Yes"),VLOOKUP('Fee Summary'!A134,'FT Fee'!$A$22:$K$171,9,FALSE),"")</f>
        <v/>
      </c>
      <c r="AG176" s="301" t="str">
        <f t="shared" si="29"/>
        <v/>
      </c>
      <c r="AH176" s="457" t="str">
        <f t="array" ref="AH176">IF(IFERROR(INDEX($AM$11:$AM$177, MATCH(0,COUNTIF($AH$10:AH175,$AM$11:$AM$177), 0)),"")=0,"",IFERROR(INDEX($AM$11:$AM$177, MATCH(0,COUNTIF($AH$10:AH175,$AM$11:$AM$177), 0)),""))</f>
        <v/>
      </c>
      <c r="AK176" s="469" t="str">
        <f>IF('FT Fee (Franchise)'!C184="","",MAX(AK$10:AK175)+1)</f>
        <v/>
      </c>
      <c r="AL176" s="470" t="str">
        <f>IF(AND('FT Fee (Franchise)'!C184="",'FT Fee (Franchise)'!I184=""),"",'FT Fee (Franchise)'!C184)</f>
        <v/>
      </c>
      <c r="AM176" s="471" t="str">
        <f t="shared" si="30"/>
        <v/>
      </c>
    </row>
    <row r="177" spans="11:34" ht="15.75" hidden="1" x14ac:dyDescent="0.25">
      <c r="K177" s="301" t="str">
        <f>IF(ISERROR(RANK(L177,$L$23:$L$473,1)+COUNTIF($L$23:L177,L177)-1)=TRUE,"",RANK(L177,$L$23:$L$473,1)+COUNTIF($L$23:L177,L177)-1)</f>
        <v/>
      </c>
      <c r="L177" s="301" t="str">
        <f t="shared" si="28"/>
        <v/>
      </c>
      <c r="M177" s="301" t="str">
        <f>IF(AND('FT Fee'!H143="Yes"),VLOOKUP('Fee Summary'!A135,'FT Fee'!$A$22:$K$171,2,FALSE),"")</f>
        <v/>
      </c>
      <c r="N177" s="301" t="str">
        <f>IF(AND('FT Fee'!H143="Yes"),VLOOKUP('Fee Summary'!A135,'FT Fee'!$A$22:$K$171,3,FALSE),"")</f>
        <v/>
      </c>
      <c r="O177" s="301" t="str">
        <f>IF(AND('FT Fee'!H143="Yes"),VLOOKUP('Fee Summary'!A135,'FT Fee'!$A$22:$K$171,9,FALSE),"")</f>
        <v/>
      </c>
      <c r="AG177" s="301" t="str">
        <f t="shared" si="29"/>
        <v/>
      </c>
      <c r="AH177" s="457" t="str">
        <f t="array" ref="AH177">IF(IFERROR(INDEX($AM$11:$AM$177, MATCH(0,COUNTIF($AH$10:AH176,$AM$11:$AM$177), 0)),"")=0,"",IFERROR(INDEX($AM$11:$AM$177, MATCH(0,COUNTIF($AH$10:AH176,$AM$11:$AM$177), 0)),""))</f>
        <v/>
      </c>
    </row>
    <row r="178" spans="11:34" ht="15.75" hidden="1" x14ac:dyDescent="0.25">
      <c r="K178" s="301" t="str">
        <f>IF(ISERROR(RANK(L178,$L$23:$L$473,1)+COUNTIF($L$23:L178,L178)-1)=TRUE,"",RANK(L178,$L$23:$L$473,1)+COUNTIF($L$23:L178,L178)-1)</f>
        <v/>
      </c>
      <c r="L178" s="301" t="str">
        <f t="shared" si="28"/>
        <v/>
      </c>
      <c r="M178" s="301" t="str">
        <f>IF(AND('FT Fee'!H144="Yes"),VLOOKUP('Fee Summary'!A136,'FT Fee'!$A$22:$K$171,2,FALSE),"")</f>
        <v/>
      </c>
      <c r="N178" s="301" t="str">
        <f>IF(AND('FT Fee'!H144="Yes"),VLOOKUP('Fee Summary'!A136,'FT Fee'!$A$22:$K$171,3,FALSE),"")</f>
        <v/>
      </c>
      <c r="O178" s="301" t="str">
        <f>IF(AND('FT Fee'!H144="Yes"),VLOOKUP('Fee Summary'!A136,'FT Fee'!$A$22:$K$171,9,FALSE),"")</f>
        <v/>
      </c>
      <c r="AG178" s="301" t="str">
        <f t="shared" si="29"/>
        <v/>
      </c>
      <c r="AH178" s="457" t="str">
        <f t="array" ref="AH178">IF(IFERROR(INDEX($AM$11:$AM$177, MATCH(0,COUNTIF($AH$10:AH177,$AM$11:$AM$177), 0)),"")=0,"",IFERROR(INDEX($AM$11:$AM$177, MATCH(0,COUNTIF($AH$10:AH177,$AM$11:$AM$177), 0)),""))</f>
        <v/>
      </c>
    </row>
    <row r="179" spans="11:34" ht="15.75" hidden="1" x14ac:dyDescent="0.25">
      <c r="K179" s="301" t="str">
        <f>IF(ISERROR(RANK(L179,$L$23:$L$473,1)+COUNTIF($L$23:L179,L179)-1)=TRUE,"",RANK(L179,$L$23:$L$473,1)+COUNTIF($L$23:L179,L179)-1)</f>
        <v/>
      </c>
      <c r="L179" s="301" t="str">
        <f t="shared" si="28"/>
        <v/>
      </c>
      <c r="M179" s="301" t="str">
        <f>IF(AND('FT Fee'!H145="Yes"),VLOOKUP('Fee Summary'!A137,'FT Fee'!$A$22:$K$171,2,FALSE),"")</f>
        <v/>
      </c>
      <c r="N179" s="301" t="str">
        <f>IF(AND('FT Fee'!H145="Yes"),VLOOKUP('Fee Summary'!A137,'FT Fee'!$A$22:$K$171,3,FALSE),"")</f>
        <v/>
      </c>
      <c r="O179" s="301" t="str">
        <f>IF(AND('FT Fee'!H145="Yes"),VLOOKUP('Fee Summary'!A137,'FT Fee'!$A$22:$K$171,9,FALSE),"")</f>
        <v/>
      </c>
      <c r="AG179" s="301" t="str">
        <f t="shared" si="29"/>
        <v/>
      </c>
      <c r="AH179" s="457" t="str">
        <f t="array" ref="AH179">IF(IFERROR(INDEX($AM$11:$AM$177, MATCH(0,COUNTIF($AH$10:AH178,$AM$11:$AM$177), 0)),"")=0,"",IFERROR(INDEX($AM$11:$AM$177, MATCH(0,COUNTIF($AH$10:AH178,$AM$11:$AM$177), 0)),""))</f>
        <v/>
      </c>
    </row>
    <row r="180" spans="11:34" ht="15.75" hidden="1" x14ac:dyDescent="0.25">
      <c r="K180" s="301" t="str">
        <f>IF(ISERROR(RANK(L180,$L$23:$L$473,1)+COUNTIF($L$23:L180,L180)-1)=TRUE,"",RANK(L180,$L$23:$L$473,1)+COUNTIF($L$23:L180,L180)-1)</f>
        <v/>
      </c>
      <c r="L180" s="301" t="str">
        <f t="shared" si="28"/>
        <v/>
      </c>
      <c r="M180" s="301" t="str">
        <f>IF(AND('FT Fee'!H146="Yes"),VLOOKUP('Fee Summary'!A138,'FT Fee'!$A$22:$K$171,2,FALSE),"")</f>
        <v/>
      </c>
      <c r="N180" s="301" t="str">
        <f>IF(AND('FT Fee'!H146="Yes"),VLOOKUP('Fee Summary'!A138,'FT Fee'!$A$22:$K$171,3,FALSE),"")</f>
        <v/>
      </c>
      <c r="O180" s="301" t="str">
        <f>IF(AND('FT Fee'!H146="Yes"),VLOOKUP('Fee Summary'!A138,'FT Fee'!$A$22:$K$171,9,FALSE),"")</f>
        <v/>
      </c>
      <c r="AG180" s="301" t="str">
        <f t="shared" si="29"/>
        <v/>
      </c>
      <c r="AH180" s="457" t="str">
        <f t="array" ref="AH180">IF(IFERROR(INDEX($AM$11:$AM$177, MATCH(0,COUNTIF($AH$10:AH179,$AM$11:$AM$177), 0)),"")=0,"",IFERROR(INDEX($AM$11:$AM$177, MATCH(0,COUNTIF($AH$10:AH179,$AM$11:$AM$177), 0)),""))</f>
        <v/>
      </c>
    </row>
    <row r="181" spans="11:34" ht="15.75" hidden="1" x14ac:dyDescent="0.25">
      <c r="K181" s="301" t="str">
        <f>IF(ISERROR(RANK(L181,$L$23:$L$473,1)+COUNTIF($L$23:L181,L181)-1)=TRUE,"",RANK(L181,$L$23:$L$473,1)+COUNTIF($L$23:L181,L181)-1)</f>
        <v/>
      </c>
      <c r="L181" s="301" t="str">
        <f t="shared" si="28"/>
        <v/>
      </c>
      <c r="M181" s="301" t="str">
        <f>IF(AND('FT Fee'!H147="Yes"),VLOOKUP('Fee Summary'!A139,'FT Fee'!$A$22:$K$171,2,FALSE),"")</f>
        <v/>
      </c>
      <c r="N181" s="301" t="str">
        <f>IF(AND('FT Fee'!H147="Yes"),VLOOKUP('Fee Summary'!A139,'FT Fee'!$A$22:$K$171,3,FALSE),"")</f>
        <v/>
      </c>
      <c r="O181" s="301" t="str">
        <f>IF(AND('FT Fee'!H147="Yes"),VLOOKUP('Fee Summary'!A139,'FT Fee'!$A$22:$K$171,9,FALSE),"")</f>
        <v/>
      </c>
      <c r="AG181" s="301" t="str">
        <f t="shared" si="29"/>
        <v/>
      </c>
      <c r="AH181" s="457" t="str">
        <f t="array" ref="AH181">IF(IFERROR(INDEX($AM$11:$AM$177, MATCH(0,COUNTIF($AH$10:AH180,$AM$11:$AM$177), 0)),"")=0,"",IFERROR(INDEX($AM$11:$AM$177, MATCH(0,COUNTIF($AH$10:AH180,$AM$11:$AM$177), 0)),""))</f>
        <v/>
      </c>
    </row>
    <row r="182" spans="11:34" ht="15.75" hidden="1" x14ac:dyDescent="0.25">
      <c r="K182" s="301" t="str">
        <f>IF(ISERROR(RANK(L182,$L$23:$L$473,1)+COUNTIF($L$23:L182,L182)-1)=TRUE,"",RANK(L182,$L$23:$L$473,1)+COUNTIF($L$23:L182,L182)-1)</f>
        <v/>
      </c>
      <c r="L182" s="301" t="str">
        <f t="shared" si="28"/>
        <v/>
      </c>
      <c r="M182" s="301" t="str">
        <f>IF(AND('FT Fee'!H148="Yes"),VLOOKUP('Fee Summary'!A140,'FT Fee'!$A$22:$K$171,2,FALSE),"")</f>
        <v/>
      </c>
      <c r="N182" s="301" t="str">
        <f>IF(AND('FT Fee'!H148="Yes"),VLOOKUP('Fee Summary'!A140,'FT Fee'!$A$22:$K$171,3,FALSE),"")</f>
        <v/>
      </c>
      <c r="O182" s="301" t="str">
        <f>IF(AND('FT Fee'!H148="Yes"),VLOOKUP('Fee Summary'!A140,'FT Fee'!$A$22:$K$171,9,FALSE),"")</f>
        <v/>
      </c>
      <c r="AG182" s="301" t="str">
        <f t="shared" si="29"/>
        <v/>
      </c>
      <c r="AH182" s="457" t="str">
        <f t="array" ref="AH182">IF(IFERROR(INDEX($AM$11:$AM$177, MATCH(0,COUNTIF($AH$10:AH181,$AM$11:$AM$177), 0)),"")=0,"",IFERROR(INDEX($AM$11:$AM$177, MATCH(0,COUNTIF($AH$10:AH181,$AM$11:$AM$177), 0)),""))</f>
        <v/>
      </c>
    </row>
    <row r="183" spans="11:34" ht="15.75" hidden="1" x14ac:dyDescent="0.25">
      <c r="K183" s="301" t="str">
        <f>IF(ISERROR(RANK(L183,$L$23:$L$473,1)+COUNTIF($L$23:L183,L183)-1)=TRUE,"",RANK(L183,$L$23:$L$473,1)+COUNTIF($L$23:L183,L183)-1)</f>
        <v/>
      </c>
      <c r="L183" s="301" t="str">
        <f t="shared" si="28"/>
        <v/>
      </c>
      <c r="M183" s="301" t="str">
        <f>IF(AND('FT Fee'!H149="Yes"),VLOOKUP('Fee Summary'!A141,'FT Fee'!$A$22:$K$171,2,FALSE),"")</f>
        <v/>
      </c>
      <c r="N183" s="301" t="str">
        <f>IF(AND('FT Fee'!H149="Yes"),VLOOKUP('Fee Summary'!A141,'FT Fee'!$A$22:$K$171,3,FALSE),"")</f>
        <v/>
      </c>
      <c r="O183" s="301" t="str">
        <f>IF(AND('FT Fee'!H149="Yes"),VLOOKUP('Fee Summary'!A141,'FT Fee'!$A$22:$K$171,9,FALSE),"")</f>
        <v/>
      </c>
      <c r="AG183" s="301" t="str">
        <f t="shared" si="29"/>
        <v/>
      </c>
      <c r="AH183" s="457"/>
    </row>
    <row r="184" spans="11:34" ht="15.75" hidden="1" x14ac:dyDescent="0.25">
      <c r="K184" s="301" t="str">
        <f>IF(ISERROR(RANK(L184,$L$23:$L$473,1)+COUNTIF($L$23:L184,L184)-1)=TRUE,"",RANK(L184,$L$23:$L$473,1)+COUNTIF($L$23:L184,L184)-1)</f>
        <v/>
      </c>
      <c r="L184" s="301" t="str">
        <f>IF(ISERROR(VLOOKUP(M184,$AA$10:$AA$21,1,FALSE))=TRUE,"",IF(VLOOKUP(M184,$AA$10:$AC$21,3,FALSE)="YES",VLOOKUP(P184,$AH$11:$AI$160,2,FALSE),VLOOKUP(M184,$AA$10:$AC$21,2,FALSE)))</f>
        <v/>
      </c>
      <c r="M184" s="301" t="str">
        <f>IF(AND('FT Fee (Franchise)'!I19="Yes"),VLOOKUP('Fee Summary'!A14,'FT Fee (Franchise)'!$A$19:$J$168,2,FALSE),"")</f>
        <v/>
      </c>
      <c r="N184" s="301" t="b">
        <f>IF(AND('FT Fee (Franchise)'!I19="Yes"),IF(VLOOKUP('Fee Summary'!A14,'FT Fee (Franchise)'!$A$19:$J$168,4,FALSE)="",VLOOKUP(A14,'FT Fee (Franchise)'!A19:J168,3,FALSE),CONCATENATE(VLOOKUP(A14,'FT Fee (Franchise)'!A19:J168,3,FALSE)," - ",VLOOKUP('Fee Summary'!A14,'FT Fee (Franchise)'!$A$19:$J$168,4,FALSE))))</f>
        <v>0</v>
      </c>
      <c r="O184" s="301" t="str">
        <f>IF(AND('FT Fee (Franchise)'!I19="Yes"),VLOOKUP('Fee Summary'!A14,'FT Fee (Franchise)'!$A$19:$J$168,10,FALSE),"")</f>
        <v/>
      </c>
      <c r="P184" s="301" t="str">
        <f>IF(VLOOKUP(A14,'FT Fee (Franchise)'!A19:K168,3,FALSE)=0,"",VLOOKUP(A14,'FT Fee (Franchise)'!A19:K168,3,FALSE))</f>
        <v/>
      </c>
      <c r="AG184" s="301" t="str">
        <f t="shared" si="29"/>
        <v/>
      </c>
      <c r="AH184" s="457"/>
    </row>
    <row r="185" spans="11:34" ht="15.75" hidden="1" x14ac:dyDescent="0.25">
      <c r="K185" s="301" t="str">
        <f>IF(ISERROR(RANK(L185,$L$23:$L$473,1)+COUNTIF($L$23:L185,L185)-1)=TRUE,"",RANK(L185,$L$23:$L$473,1)+COUNTIF($L$23:L185,L185)-1)</f>
        <v/>
      </c>
      <c r="L185" s="301" t="str">
        <f t="shared" ref="L185:L216" si="31">IF(ISERROR(VLOOKUP(M185,$AA$10:$AA$21,1,FALSE))=TRUE,"",IF(VLOOKUP(M185,$AA$10:$AC$21,2,FALSE)="",VLOOKUP(P185,$AH$11:$AI$160,2,FALSE),VLOOKUP(M185,$AA$10:$AC$21,2,FALSE)))</f>
        <v/>
      </c>
      <c r="M185" s="301" t="str">
        <f>IF(AND('FT Fee (Franchise)'!I20="Yes"),VLOOKUP('Fee Summary'!A15,'FT Fee (Franchise)'!$A$19:$J$168,2,FALSE),"")</f>
        <v/>
      </c>
      <c r="N185" s="301" t="b">
        <f>IF(AND('FT Fee (Franchise)'!I20="Yes"),IF(VLOOKUP('Fee Summary'!A15,'FT Fee (Franchise)'!$A$19:$J$168,4,FALSE)="",VLOOKUP(A15,'FT Fee (Franchise)'!A20:J169,3,FALSE),CONCATENATE(VLOOKUP(A15,'FT Fee (Franchise)'!A20:J169,3,FALSE)," - ",VLOOKUP('Fee Summary'!A15,'FT Fee (Franchise)'!$A$19:$J$168,4,FALSE))))</f>
        <v>0</v>
      </c>
      <c r="O185" s="301" t="str">
        <f>IF(AND('FT Fee (Franchise)'!I20="Yes"),VLOOKUP('Fee Summary'!A15,'FT Fee (Franchise)'!$A$19:$J$168,10,FALSE),"")</f>
        <v/>
      </c>
      <c r="P185" s="301" t="str">
        <f>IF(VLOOKUP(A15,'FT Fee (Franchise)'!A20:K169,3,FALSE)=0,"",VLOOKUP(A15,'FT Fee (Franchise)'!A20:K169,3,FALSE))</f>
        <v/>
      </c>
      <c r="AG185" s="301" t="str">
        <f t="shared" si="29"/>
        <v/>
      </c>
      <c r="AH185" s="457"/>
    </row>
    <row r="186" spans="11:34" ht="15.75" hidden="1" x14ac:dyDescent="0.25">
      <c r="K186" s="301" t="str">
        <f>IF(ISERROR(RANK(L186,$L$23:$L$473,1)+COUNTIF($L$23:L186,L186)-1)=TRUE,"",RANK(L186,$L$23:$L$473,1)+COUNTIF($L$23:L186,L186)-1)</f>
        <v/>
      </c>
      <c r="L186" s="301" t="str">
        <f t="shared" si="31"/>
        <v/>
      </c>
      <c r="M186" s="301" t="str">
        <f>IF(AND('FT Fee (Franchise)'!I21="Yes"),VLOOKUP('Fee Summary'!A16,'FT Fee (Franchise)'!$A$19:$J$168,2,FALSE),"")</f>
        <v/>
      </c>
      <c r="N186" s="301" t="b">
        <f>IF(AND('FT Fee (Franchise)'!I21="Yes"),IF(VLOOKUP('Fee Summary'!A16,'FT Fee (Franchise)'!$A$19:$J$168,4,FALSE)="",VLOOKUP(A16,'FT Fee (Franchise)'!A21:J170,3,FALSE),CONCATENATE(VLOOKUP(A16,'FT Fee (Franchise)'!A21:J170,3,FALSE)," - ",VLOOKUP('Fee Summary'!A16,'FT Fee (Franchise)'!$A$19:$J$168,4,FALSE))))</f>
        <v>0</v>
      </c>
      <c r="O186" s="301" t="str">
        <f>IF(AND('FT Fee (Franchise)'!I21="Yes"),VLOOKUP('Fee Summary'!A16,'FT Fee (Franchise)'!$A$19:$J$168,10,FALSE),"")</f>
        <v/>
      </c>
      <c r="P186" s="301" t="str">
        <f>IF(VLOOKUP(A16,'FT Fee (Franchise)'!A21:K170,3,FALSE)=0,"",VLOOKUP(A16,'FT Fee (Franchise)'!A21:K170,3,FALSE))</f>
        <v/>
      </c>
      <c r="AG186" s="301" t="str">
        <f t="shared" si="29"/>
        <v/>
      </c>
      <c r="AH186" s="457"/>
    </row>
    <row r="187" spans="11:34" ht="15.75" hidden="1" x14ac:dyDescent="0.25">
      <c r="K187" s="301" t="str">
        <f>IF(ISERROR(RANK(L187,$L$23:$L$473,1)+COUNTIF($L$23:L187,L187)-1)=TRUE,"",RANK(L187,$L$23:$L$473,1)+COUNTIF($L$23:L187,L187)-1)</f>
        <v/>
      </c>
      <c r="L187" s="301" t="str">
        <f t="shared" si="31"/>
        <v/>
      </c>
      <c r="M187" s="301" t="str">
        <f>IF(AND('FT Fee (Franchise)'!I22="Yes"),VLOOKUP('Fee Summary'!A17,'FT Fee (Franchise)'!$A$19:$J$168,2,FALSE),"")</f>
        <v/>
      </c>
      <c r="N187" s="301" t="b">
        <f>IF(AND('FT Fee (Franchise)'!I22="Yes"),IF(VLOOKUP('Fee Summary'!A17,'FT Fee (Franchise)'!$A$19:$J$168,4,FALSE)="",VLOOKUP(A17,'FT Fee (Franchise)'!A22:J171,3,FALSE),CONCATENATE(VLOOKUP(A17,'FT Fee (Franchise)'!A22:J171,3,FALSE)," - ",VLOOKUP('Fee Summary'!A17,'FT Fee (Franchise)'!$A$19:$J$168,4,FALSE))))</f>
        <v>0</v>
      </c>
      <c r="O187" s="301" t="str">
        <f>IF(AND('FT Fee (Franchise)'!I22="Yes"),VLOOKUP('Fee Summary'!A17,'FT Fee (Franchise)'!$A$19:$J$168,10,FALSE),"")</f>
        <v/>
      </c>
      <c r="P187" s="301" t="str">
        <f>IF(VLOOKUP(A17,'FT Fee (Franchise)'!A22:K171,3,FALSE)=0,"",VLOOKUP(A17,'FT Fee (Franchise)'!A22:K171,3,FALSE))</f>
        <v/>
      </c>
      <c r="AG187" s="301" t="str">
        <f t="shared" si="29"/>
        <v/>
      </c>
      <c r="AH187" s="457"/>
    </row>
    <row r="188" spans="11:34" ht="15.75" hidden="1" x14ac:dyDescent="0.25">
      <c r="K188" s="301" t="str">
        <f>IF(ISERROR(RANK(L188,$L$23:$L$473,1)+COUNTIF($L$23:L188,L188)-1)=TRUE,"",RANK(L188,$L$23:$L$473,1)+COUNTIF($L$23:L188,L188)-1)</f>
        <v/>
      </c>
      <c r="L188" s="301" t="str">
        <f t="shared" si="31"/>
        <v/>
      </c>
      <c r="M188" s="301" t="str">
        <f>IF(AND('FT Fee (Franchise)'!I23="Yes"),VLOOKUP('Fee Summary'!A18,'FT Fee (Franchise)'!$A$19:$J$168,2,FALSE),"")</f>
        <v/>
      </c>
      <c r="N188" s="301" t="b">
        <f>IF(AND('FT Fee (Franchise)'!I23="Yes"),IF(VLOOKUP('Fee Summary'!A18,'FT Fee (Franchise)'!$A$19:$J$168,4,FALSE)="",VLOOKUP(A18,'FT Fee (Franchise)'!A23:J172,3,FALSE),CONCATENATE(VLOOKUP(A18,'FT Fee (Franchise)'!A23:J172,3,FALSE)," - ",VLOOKUP('Fee Summary'!A18,'FT Fee (Franchise)'!$A$19:$J$168,4,FALSE))))</f>
        <v>0</v>
      </c>
      <c r="O188" s="301" t="str">
        <f>IF(AND('FT Fee (Franchise)'!I23="Yes"),VLOOKUP('Fee Summary'!A18,'FT Fee (Franchise)'!$A$19:$J$168,10,FALSE),"")</f>
        <v/>
      </c>
      <c r="P188" s="301" t="str">
        <f>IF(VLOOKUP(A18,'FT Fee (Franchise)'!A23:K172,3,FALSE)=0,"",VLOOKUP(A18,'FT Fee (Franchise)'!A23:K172,3,FALSE))</f>
        <v/>
      </c>
      <c r="AG188" s="301" t="str">
        <f t="shared" si="29"/>
        <v/>
      </c>
      <c r="AH188" s="457"/>
    </row>
    <row r="189" spans="11:34" ht="15.75" hidden="1" x14ac:dyDescent="0.25">
      <c r="K189" s="301" t="str">
        <f>IF(ISERROR(RANK(L189,$L$23:$L$473,1)+COUNTIF($L$23:L189,L189)-1)=TRUE,"",RANK(L189,$L$23:$L$473,1)+COUNTIF($L$23:L189,L189)-1)</f>
        <v/>
      </c>
      <c r="L189" s="301" t="str">
        <f t="shared" si="31"/>
        <v/>
      </c>
      <c r="M189" s="301" t="str">
        <f>IF(AND('FT Fee (Franchise)'!I24="Yes"),VLOOKUP('Fee Summary'!A19,'FT Fee (Franchise)'!$A$19:$J$168,2,FALSE),"")</f>
        <v/>
      </c>
      <c r="N189" s="301" t="b">
        <f>IF(AND('FT Fee (Franchise)'!I24="Yes"),IF(VLOOKUP('Fee Summary'!A19,'FT Fee (Franchise)'!$A$19:$J$168,4,FALSE)="",VLOOKUP(A19,'FT Fee (Franchise)'!A24:J173,3,FALSE),CONCATENATE(VLOOKUP(A19,'FT Fee (Franchise)'!A24:J173,3,FALSE)," - ",VLOOKUP('Fee Summary'!A19,'FT Fee (Franchise)'!$A$19:$J$168,4,FALSE))))</f>
        <v>0</v>
      </c>
      <c r="O189" s="301" t="str">
        <f>IF(AND('FT Fee (Franchise)'!I24="Yes"),VLOOKUP('Fee Summary'!A19,'FT Fee (Franchise)'!$A$19:$J$168,10,FALSE),"")</f>
        <v/>
      </c>
      <c r="P189" s="301" t="str">
        <f>IF(VLOOKUP(A19,'FT Fee (Franchise)'!A24:K173,3,FALSE)=0,"",VLOOKUP(A19,'FT Fee (Franchise)'!A24:K173,3,FALSE))</f>
        <v/>
      </c>
      <c r="AG189" s="301" t="str">
        <f t="shared" si="29"/>
        <v/>
      </c>
      <c r="AH189" s="457"/>
    </row>
    <row r="190" spans="11:34" ht="15.75" hidden="1" x14ac:dyDescent="0.25">
      <c r="K190" s="301" t="str">
        <f>IF(ISERROR(RANK(L190,$L$23:$L$473,1)+COUNTIF($L$23:L190,L190)-1)=TRUE,"",RANK(L190,$L$23:$L$473,1)+COUNTIF($L$23:L190,L190)-1)</f>
        <v/>
      </c>
      <c r="L190" s="301" t="str">
        <f t="shared" si="31"/>
        <v/>
      </c>
      <c r="M190" s="301" t="str">
        <f>IF(AND('FT Fee (Franchise)'!I25="Yes"),VLOOKUP('Fee Summary'!A20,'FT Fee (Franchise)'!$A$19:$J$168,2,FALSE),"")</f>
        <v/>
      </c>
      <c r="N190" s="301" t="b">
        <f>IF(AND('FT Fee (Franchise)'!I25="Yes"),IF(VLOOKUP('Fee Summary'!A20,'FT Fee (Franchise)'!$A$19:$J$168,4,FALSE)="",VLOOKUP(A20,'FT Fee (Franchise)'!A25:J174,3,FALSE),CONCATENATE(VLOOKUP(A20,'FT Fee (Franchise)'!A25:J174,3,FALSE)," - ",VLOOKUP('Fee Summary'!A20,'FT Fee (Franchise)'!$A$19:$J$168,4,FALSE))))</f>
        <v>0</v>
      </c>
      <c r="O190" s="301" t="str">
        <f>IF(AND('FT Fee (Franchise)'!I25="Yes"),VLOOKUP('Fee Summary'!A20,'FT Fee (Franchise)'!$A$19:$J$168,10,FALSE),"")</f>
        <v/>
      </c>
      <c r="P190" s="301" t="str">
        <f>IF(VLOOKUP(A20,'FT Fee (Franchise)'!A25:K174,3,FALSE)=0,"",VLOOKUP(A20,'FT Fee (Franchise)'!A25:K174,3,FALSE))</f>
        <v/>
      </c>
      <c r="AG190" s="301" t="str">
        <f t="shared" si="29"/>
        <v/>
      </c>
      <c r="AH190" s="457"/>
    </row>
    <row r="191" spans="11:34" ht="15.75" hidden="1" x14ac:dyDescent="0.25">
      <c r="K191" s="301" t="str">
        <f>IF(ISERROR(RANK(L191,$L$23:$L$473,1)+COUNTIF($L$23:L191,L191)-1)=TRUE,"",RANK(L191,$L$23:$L$473,1)+COUNTIF($L$23:L191,L191)-1)</f>
        <v/>
      </c>
      <c r="L191" s="301" t="str">
        <f t="shared" si="31"/>
        <v/>
      </c>
      <c r="M191" s="301" t="str">
        <f>IF(AND('FT Fee (Franchise)'!I26="Yes"),VLOOKUP('Fee Summary'!A21,'FT Fee (Franchise)'!$A$19:$J$168,2,FALSE),"")</f>
        <v/>
      </c>
      <c r="N191" s="301" t="b">
        <f>IF(AND('FT Fee (Franchise)'!I26="Yes"),IF(VLOOKUP('Fee Summary'!A21,'FT Fee (Franchise)'!$A$19:$J$168,4,FALSE)="",VLOOKUP(A21,'FT Fee (Franchise)'!A26:J175,3,FALSE),CONCATENATE(VLOOKUP(A21,'FT Fee (Franchise)'!A26:J175,3,FALSE)," - ",VLOOKUP('Fee Summary'!A21,'FT Fee (Franchise)'!$A$19:$J$168,4,FALSE))))</f>
        <v>0</v>
      </c>
      <c r="O191" s="301" t="str">
        <f>IF(AND('FT Fee (Franchise)'!I26="Yes"),VLOOKUP('Fee Summary'!A21,'FT Fee (Franchise)'!$A$19:$J$168,10,FALSE),"")</f>
        <v/>
      </c>
      <c r="P191" s="301" t="str">
        <f>IF(VLOOKUP(A21,'FT Fee (Franchise)'!A26:K175,3,FALSE)=0,"",VLOOKUP(A21,'FT Fee (Franchise)'!A26:K175,3,FALSE))</f>
        <v/>
      </c>
      <c r="AG191" s="301" t="str">
        <f t="shared" si="29"/>
        <v/>
      </c>
      <c r="AH191" s="457"/>
    </row>
    <row r="192" spans="11:34" ht="15.75" hidden="1" x14ac:dyDescent="0.25">
      <c r="K192" s="301" t="str">
        <f>IF(ISERROR(RANK(L192,$L$23:$L$473,1)+COUNTIF($L$23:L192,L192)-1)=TRUE,"",RANK(L192,$L$23:$L$473,1)+COUNTIF($L$23:L192,L192)-1)</f>
        <v/>
      </c>
      <c r="L192" s="301" t="str">
        <f t="shared" si="31"/>
        <v/>
      </c>
      <c r="M192" s="301" t="str">
        <f>IF(AND('FT Fee (Franchise)'!I27="Yes"),VLOOKUP('Fee Summary'!A22,'FT Fee (Franchise)'!$A$19:$J$168,2,FALSE),"")</f>
        <v/>
      </c>
      <c r="N192" s="301" t="b">
        <f>IF(AND('FT Fee (Franchise)'!I27="Yes"),IF(VLOOKUP('Fee Summary'!A22,'FT Fee (Franchise)'!$A$19:$J$168,4,FALSE)="",VLOOKUP(A22,'FT Fee (Franchise)'!A27:J176,3,FALSE),CONCATENATE(VLOOKUP(A22,'FT Fee (Franchise)'!A27:J176,3,FALSE)," - ",VLOOKUP('Fee Summary'!A22,'FT Fee (Franchise)'!$A$19:$J$168,4,FALSE))))</f>
        <v>0</v>
      </c>
      <c r="O192" s="301" t="str">
        <f>IF(AND('FT Fee (Franchise)'!I27="Yes"),VLOOKUP('Fee Summary'!A22,'FT Fee (Franchise)'!$A$19:$J$168,10,FALSE),"")</f>
        <v/>
      </c>
      <c r="P192" s="301" t="str">
        <f>IF(VLOOKUP(A22,'FT Fee (Franchise)'!A27:K176,3,FALSE)=0,"",VLOOKUP(A22,'FT Fee (Franchise)'!A27:K176,3,FALSE))</f>
        <v/>
      </c>
      <c r="AG192" s="301" t="str">
        <f t="shared" si="29"/>
        <v/>
      </c>
      <c r="AH192" s="457"/>
    </row>
    <row r="193" spans="11:34" ht="15.75" hidden="1" x14ac:dyDescent="0.25">
      <c r="K193" s="301" t="str">
        <f>IF(ISERROR(RANK(L193,$L$23:$L$473,1)+COUNTIF($L$23:L193,L193)-1)=TRUE,"",RANK(L193,$L$23:$L$473,1)+COUNTIF($L$23:L193,L193)-1)</f>
        <v/>
      </c>
      <c r="L193" s="301" t="str">
        <f t="shared" si="31"/>
        <v/>
      </c>
      <c r="M193" s="301" t="str">
        <f>IF(AND('FT Fee (Franchise)'!I28="Yes"),VLOOKUP('Fee Summary'!A23,'FT Fee (Franchise)'!$A$19:$J$168,2,FALSE),"")</f>
        <v/>
      </c>
      <c r="N193" s="301" t="b">
        <f>IF(AND('FT Fee (Franchise)'!I28="Yes"),IF(VLOOKUP('Fee Summary'!A23,'FT Fee (Franchise)'!$A$19:$J$168,4,FALSE)="",VLOOKUP(A23,'FT Fee (Franchise)'!A28:J177,3,FALSE),CONCATENATE(VLOOKUP(A23,'FT Fee (Franchise)'!A28:J177,3,FALSE)," - ",VLOOKUP('Fee Summary'!A23,'FT Fee (Franchise)'!$A$19:$J$168,4,FALSE))))</f>
        <v>0</v>
      </c>
      <c r="O193" s="301" t="str">
        <f>IF(AND('FT Fee (Franchise)'!I28="Yes"),VLOOKUP('Fee Summary'!A23,'FT Fee (Franchise)'!$A$19:$J$168,10,FALSE),"")</f>
        <v/>
      </c>
      <c r="P193" s="301" t="str">
        <f>IF(VLOOKUP(A23,'FT Fee (Franchise)'!A28:K177,3,FALSE)=0,"",VLOOKUP(A23,'FT Fee (Franchise)'!A28:K177,3,FALSE))</f>
        <v/>
      </c>
      <c r="AG193" s="301" t="str">
        <f t="shared" si="29"/>
        <v/>
      </c>
      <c r="AH193" s="457"/>
    </row>
    <row r="194" spans="11:34" ht="15.75" hidden="1" x14ac:dyDescent="0.25">
      <c r="K194" s="301" t="str">
        <f>IF(ISERROR(RANK(L194,$L$23:$L$473,1)+COUNTIF($L$23:L194,L194)-1)=TRUE,"",RANK(L194,$L$23:$L$473,1)+COUNTIF($L$23:L194,L194)-1)</f>
        <v/>
      </c>
      <c r="L194" s="301" t="str">
        <f t="shared" si="31"/>
        <v/>
      </c>
      <c r="M194" s="301" t="str">
        <f>IF(AND('FT Fee (Franchise)'!I29="Yes"),VLOOKUP('Fee Summary'!A24,'FT Fee (Franchise)'!$A$19:$J$168,2,FALSE),"")</f>
        <v/>
      </c>
      <c r="N194" s="301" t="b">
        <f>IF(AND('FT Fee (Franchise)'!I29="Yes"),IF(VLOOKUP('Fee Summary'!A24,'FT Fee (Franchise)'!$A$19:$J$168,4,FALSE)="",VLOOKUP(A24,'FT Fee (Franchise)'!A29:J178,3,FALSE),CONCATENATE(VLOOKUP(A24,'FT Fee (Franchise)'!A29:J178,3,FALSE)," - ",VLOOKUP('Fee Summary'!A24,'FT Fee (Franchise)'!$A$19:$J$168,4,FALSE))))</f>
        <v>0</v>
      </c>
      <c r="O194" s="301" t="str">
        <f>IF(AND('FT Fee (Franchise)'!I29="Yes"),VLOOKUP('Fee Summary'!A24,'FT Fee (Franchise)'!$A$19:$J$168,10,FALSE),"")</f>
        <v/>
      </c>
      <c r="P194" s="301" t="str">
        <f>IF(VLOOKUP(A24,'FT Fee (Franchise)'!A29:K178,3,FALSE)=0,"",VLOOKUP(A24,'FT Fee (Franchise)'!A29:K178,3,FALSE))</f>
        <v/>
      </c>
      <c r="AG194" s="301" t="str">
        <f t="shared" si="29"/>
        <v/>
      </c>
      <c r="AH194" s="457"/>
    </row>
    <row r="195" spans="11:34" ht="15.75" hidden="1" x14ac:dyDescent="0.25">
      <c r="K195" s="301" t="str">
        <f>IF(ISERROR(RANK(L195,$L$23:$L$473,1)+COUNTIF($L$23:L195,L195)-1)=TRUE,"",RANK(L195,$L$23:$L$473,1)+COUNTIF($L$23:L195,L195)-1)</f>
        <v/>
      </c>
      <c r="L195" s="301" t="str">
        <f t="shared" si="31"/>
        <v/>
      </c>
      <c r="M195" s="301" t="str">
        <f>IF(AND('FT Fee (Franchise)'!I30="Yes"),VLOOKUP('Fee Summary'!A25,'FT Fee (Franchise)'!$A$19:$J$168,2,FALSE),"")</f>
        <v/>
      </c>
      <c r="N195" s="301" t="b">
        <f>IF(AND('FT Fee (Franchise)'!I30="Yes"),IF(VLOOKUP('Fee Summary'!A25,'FT Fee (Franchise)'!$A$19:$J$168,4,FALSE)="",VLOOKUP(A25,'FT Fee (Franchise)'!A30:J179,3,FALSE),CONCATENATE(VLOOKUP(A25,'FT Fee (Franchise)'!A30:J179,3,FALSE)," - ",VLOOKUP('Fee Summary'!A25,'FT Fee (Franchise)'!$A$19:$J$168,4,FALSE))))</f>
        <v>0</v>
      </c>
      <c r="O195" s="301" t="str">
        <f>IF(AND('FT Fee (Franchise)'!I30="Yes"),VLOOKUP('Fee Summary'!A25,'FT Fee (Franchise)'!$A$19:$J$168,10,FALSE),"")</f>
        <v/>
      </c>
      <c r="P195" s="301" t="str">
        <f>IF(VLOOKUP(A25,'FT Fee (Franchise)'!A30:K179,3,FALSE)=0,"",VLOOKUP(A25,'FT Fee (Franchise)'!A30:K179,3,FALSE))</f>
        <v/>
      </c>
      <c r="AG195" s="301" t="str">
        <f t="shared" si="29"/>
        <v/>
      </c>
      <c r="AH195" s="457"/>
    </row>
    <row r="196" spans="11:34" ht="15.75" hidden="1" x14ac:dyDescent="0.25">
      <c r="K196" s="301" t="str">
        <f>IF(ISERROR(RANK(L196,$L$23:$L$473,1)+COUNTIF($L$23:L196,L196)-1)=TRUE,"",RANK(L196,$L$23:$L$473,1)+COUNTIF($L$23:L196,L196)-1)</f>
        <v/>
      </c>
      <c r="L196" s="301" t="str">
        <f t="shared" si="31"/>
        <v/>
      </c>
      <c r="M196" s="301" t="str">
        <f>IF(AND('FT Fee (Franchise)'!I31="Yes"),VLOOKUP('Fee Summary'!A26,'FT Fee (Franchise)'!$A$19:$J$168,2,FALSE),"")</f>
        <v/>
      </c>
      <c r="N196" s="301" t="b">
        <f>IF(AND('FT Fee (Franchise)'!I31="Yes"),IF(VLOOKUP('Fee Summary'!A26,'FT Fee (Franchise)'!$A$19:$J$168,4,FALSE)="",VLOOKUP(A26,'FT Fee (Franchise)'!A31:J180,3,FALSE),CONCATENATE(VLOOKUP(A26,'FT Fee (Franchise)'!A31:J180,3,FALSE)," - ",VLOOKUP('Fee Summary'!A26,'FT Fee (Franchise)'!$A$19:$J$168,4,FALSE))))</f>
        <v>0</v>
      </c>
      <c r="O196" s="301" t="str">
        <f>IF(AND('FT Fee (Franchise)'!I31="Yes"),VLOOKUP('Fee Summary'!A26,'FT Fee (Franchise)'!$A$19:$J$168,10,FALSE),"")</f>
        <v/>
      </c>
      <c r="P196" s="301" t="str">
        <f>IF(VLOOKUP(A26,'FT Fee (Franchise)'!A31:K180,3,FALSE)=0,"",VLOOKUP(A26,'FT Fee (Franchise)'!A31:K180,3,FALSE))</f>
        <v/>
      </c>
      <c r="AG196" s="301" t="str">
        <f t="shared" si="29"/>
        <v/>
      </c>
      <c r="AH196" s="457"/>
    </row>
    <row r="197" spans="11:34" ht="15.75" hidden="1" x14ac:dyDescent="0.25">
      <c r="K197" s="301" t="str">
        <f>IF(ISERROR(RANK(L197,$L$23:$L$473,1)+COUNTIF($L$23:L197,L197)-1)=TRUE,"",RANK(L197,$L$23:$L$473,1)+COUNTIF($L$23:L197,L197)-1)</f>
        <v/>
      </c>
      <c r="L197" s="301" t="str">
        <f t="shared" si="31"/>
        <v/>
      </c>
      <c r="M197" s="301" t="str">
        <f>IF(AND('FT Fee (Franchise)'!I32="Yes"),VLOOKUP('Fee Summary'!A27,'FT Fee (Franchise)'!$A$19:$J$168,2,FALSE),"")</f>
        <v/>
      </c>
      <c r="N197" s="301" t="b">
        <f>IF(AND('FT Fee (Franchise)'!I32="Yes"),IF(VLOOKUP('Fee Summary'!A27,'FT Fee (Franchise)'!$A$19:$J$168,4,FALSE)="",VLOOKUP(A27,'FT Fee (Franchise)'!A32:J181,3,FALSE),CONCATENATE(VLOOKUP(A27,'FT Fee (Franchise)'!A32:J181,3,FALSE)," - ",VLOOKUP('Fee Summary'!A27,'FT Fee (Franchise)'!$A$19:$J$168,4,FALSE))))</f>
        <v>0</v>
      </c>
      <c r="O197" s="301" t="str">
        <f>IF(AND('FT Fee (Franchise)'!I32="Yes"),VLOOKUP('Fee Summary'!A27,'FT Fee (Franchise)'!$A$19:$J$168,10,FALSE),"")</f>
        <v/>
      </c>
      <c r="P197" s="301" t="str">
        <f>IF(VLOOKUP(A27,'FT Fee (Franchise)'!A32:K181,3,FALSE)=0,"",VLOOKUP(A27,'FT Fee (Franchise)'!A32:K181,3,FALSE))</f>
        <v/>
      </c>
      <c r="AG197" s="301" t="str">
        <f t="shared" si="29"/>
        <v/>
      </c>
      <c r="AH197" s="457"/>
    </row>
    <row r="198" spans="11:34" ht="15.75" hidden="1" x14ac:dyDescent="0.25">
      <c r="K198" s="301" t="str">
        <f>IF(ISERROR(RANK(L198,$L$23:$L$473,1)+COUNTIF($L$23:L198,L198)-1)=TRUE,"",RANK(L198,$L$23:$L$473,1)+COUNTIF($L$23:L198,L198)-1)</f>
        <v/>
      </c>
      <c r="L198" s="301" t="str">
        <f t="shared" si="31"/>
        <v/>
      </c>
      <c r="M198" s="301" t="str">
        <f>IF(AND('FT Fee (Franchise)'!I33="Yes"),VLOOKUP('Fee Summary'!A28,'FT Fee (Franchise)'!$A$19:$J$168,2,FALSE),"")</f>
        <v/>
      </c>
      <c r="N198" s="301" t="b">
        <f>IF(AND('FT Fee (Franchise)'!I33="Yes"),IF(VLOOKUP('Fee Summary'!A28,'FT Fee (Franchise)'!$A$19:$J$168,4,FALSE)="",VLOOKUP(A28,'FT Fee (Franchise)'!A33:J182,3,FALSE),CONCATENATE(VLOOKUP(A28,'FT Fee (Franchise)'!A33:J182,3,FALSE)," - ",VLOOKUP('Fee Summary'!A28,'FT Fee (Franchise)'!$A$19:$J$168,4,FALSE))))</f>
        <v>0</v>
      </c>
      <c r="O198" s="301" t="str">
        <f>IF(AND('FT Fee (Franchise)'!I33="Yes"),VLOOKUP('Fee Summary'!A28,'FT Fee (Franchise)'!$A$19:$J$168,10,FALSE),"")</f>
        <v/>
      </c>
      <c r="P198" s="301" t="str">
        <f>IF(VLOOKUP(A28,'FT Fee (Franchise)'!A33:K182,3,FALSE)=0,"",VLOOKUP(A28,'FT Fee (Franchise)'!A33:K182,3,FALSE))</f>
        <v/>
      </c>
      <c r="AG198" s="301" t="str">
        <f t="shared" si="29"/>
        <v/>
      </c>
      <c r="AH198" s="457"/>
    </row>
    <row r="199" spans="11:34" ht="15.75" hidden="1" x14ac:dyDescent="0.25">
      <c r="K199" s="301" t="str">
        <f>IF(ISERROR(RANK(L199,$L$23:$L$473,1)+COUNTIF($L$23:L199,L199)-1)=TRUE,"",RANK(L199,$L$23:$L$473,1)+COUNTIF($L$23:L199,L199)-1)</f>
        <v/>
      </c>
      <c r="L199" s="301" t="str">
        <f t="shared" si="31"/>
        <v/>
      </c>
      <c r="M199" s="301" t="str">
        <f>IF(AND('FT Fee (Franchise)'!I34="Yes"),VLOOKUP('Fee Summary'!A29,'FT Fee (Franchise)'!$A$19:$J$168,2,FALSE),"")</f>
        <v/>
      </c>
      <c r="N199" s="301" t="b">
        <f>IF(AND('FT Fee (Franchise)'!I34="Yes"),IF(VLOOKUP('Fee Summary'!A29,'FT Fee (Franchise)'!$A$19:$J$168,4,FALSE)="",VLOOKUP(A29,'FT Fee (Franchise)'!A34:J183,3,FALSE),CONCATENATE(VLOOKUP(A29,'FT Fee (Franchise)'!A34:J183,3,FALSE)," - ",VLOOKUP('Fee Summary'!A29,'FT Fee (Franchise)'!$A$19:$J$168,4,FALSE))))</f>
        <v>0</v>
      </c>
      <c r="O199" s="301" t="str">
        <f>IF(AND('FT Fee (Franchise)'!I34="Yes"),VLOOKUP('Fee Summary'!A29,'FT Fee (Franchise)'!$A$19:$J$168,10,FALSE),"")</f>
        <v/>
      </c>
      <c r="P199" s="301" t="str">
        <f>IF(VLOOKUP(A29,'FT Fee (Franchise)'!A34:K183,3,FALSE)=0,"",VLOOKUP(A29,'FT Fee (Franchise)'!A34:K183,3,FALSE))</f>
        <v/>
      </c>
      <c r="AG199" s="301" t="str">
        <f t="shared" si="29"/>
        <v/>
      </c>
      <c r="AH199" s="457"/>
    </row>
    <row r="200" spans="11:34" ht="15.75" hidden="1" x14ac:dyDescent="0.25">
      <c r="K200" s="301" t="str">
        <f>IF(ISERROR(RANK(L200,$L$23:$L$473,1)+COUNTIF($L$23:L200,L200)-1)=TRUE,"",RANK(L200,$L$23:$L$473,1)+COUNTIF($L$23:L200,L200)-1)</f>
        <v/>
      </c>
      <c r="L200" s="301" t="str">
        <f t="shared" si="31"/>
        <v/>
      </c>
      <c r="M200" s="301" t="str">
        <f>IF(AND('FT Fee (Franchise)'!I35="Yes"),VLOOKUP('Fee Summary'!A30,'FT Fee (Franchise)'!$A$19:$J$168,2,FALSE),"")</f>
        <v/>
      </c>
      <c r="N200" s="301" t="b">
        <f>IF(AND('FT Fee (Franchise)'!I35="Yes"),IF(VLOOKUP('Fee Summary'!A30,'FT Fee (Franchise)'!$A$19:$J$168,4,FALSE)="",VLOOKUP(A30,'FT Fee (Franchise)'!A35:J184,3,FALSE),CONCATENATE(VLOOKUP(A30,'FT Fee (Franchise)'!A35:J184,3,FALSE)," - ",VLOOKUP('Fee Summary'!A30,'FT Fee (Franchise)'!$A$19:$J$168,4,FALSE))))</f>
        <v>0</v>
      </c>
      <c r="O200" s="301" t="str">
        <f>IF(AND('FT Fee (Franchise)'!I35="Yes"),VLOOKUP('Fee Summary'!A30,'FT Fee (Franchise)'!$A$19:$J$168,10,FALSE),"")</f>
        <v/>
      </c>
      <c r="P200" s="301" t="str">
        <f>IF(VLOOKUP(A30,'FT Fee (Franchise)'!A35:K184,3,FALSE)=0,"",VLOOKUP(A30,'FT Fee (Franchise)'!A35:K184,3,FALSE))</f>
        <v/>
      </c>
      <c r="AG200" s="301" t="str">
        <f t="shared" si="29"/>
        <v/>
      </c>
      <c r="AH200" s="457"/>
    </row>
    <row r="201" spans="11:34" ht="15.75" hidden="1" x14ac:dyDescent="0.25">
      <c r="K201" s="301" t="str">
        <f>IF(ISERROR(RANK(L201,$L$23:$L$473,1)+COUNTIF($L$23:L201,L201)-1)=TRUE,"",RANK(L201,$L$23:$L$473,1)+COUNTIF($L$23:L201,L201)-1)</f>
        <v/>
      </c>
      <c r="L201" s="301" t="str">
        <f t="shared" si="31"/>
        <v/>
      </c>
      <c r="M201" s="301" t="str">
        <f>IF(AND('FT Fee (Franchise)'!I36="Yes"),VLOOKUP('Fee Summary'!A31,'FT Fee (Franchise)'!$A$19:$J$168,2,FALSE),"")</f>
        <v/>
      </c>
      <c r="N201" s="301" t="b">
        <f>IF(AND('FT Fee (Franchise)'!I36="Yes"),IF(VLOOKUP('Fee Summary'!A31,'FT Fee (Franchise)'!$A$19:$J$168,4,FALSE)="",VLOOKUP(A31,'FT Fee (Franchise)'!A36:J185,3,FALSE),CONCATENATE(VLOOKUP(A31,'FT Fee (Franchise)'!A36:J185,3,FALSE)," - ",VLOOKUP('Fee Summary'!A31,'FT Fee (Franchise)'!$A$19:$J$168,4,FALSE))))</f>
        <v>0</v>
      </c>
      <c r="O201" s="301" t="str">
        <f>IF(AND('FT Fee (Franchise)'!I36="Yes"),VLOOKUP('Fee Summary'!A31,'FT Fee (Franchise)'!$A$19:$J$168,10,FALSE),"")</f>
        <v/>
      </c>
      <c r="P201" s="301" t="str">
        <f>IF(VLOOKUP(A31,'FT Fee (Franchise)'!A36:K185,3,FALSE)=0,"",VLOOKUP(A31,'FT Fee (Franchise)'!A36:K185,3,FALSE))</f>
        <v/>
      </c>
      <c r="AG201" s="301" t="str">
        <f t="shared" si="29"/>
        <v/>
      </c>
      <c r="AH201" s="457"/>
    </row>
    <row r="202" spans="11:34" ht="15.75" hidden="1" x14ac:dyDescent="0.25">
      <c r="K202" s="301" t="str">
        <f>IF(ISERROR(RANK(L202,$L$23:$L$473,1)+COUNTIF($L$23:L202,L202)-1)=TRUE,"",RANK(L202,$L$23:$L$473,1)+COUNTIF($L$23:L202,L202)-1)</f>
        <v/>
      </c>
      <c r="L202" s="301" t="str">
        <f t="shared" si="31"/>
        <v/>
      </c>
      <c r="M202" s="301" t="str">
        <f>IF(AND('FT Fee (Franchise)'!I37="Yes"),VLOOKUP('Fee Summary'!A32,'FT Fee (Franchise)'!$A$19:$J$168,2,FALSE),"")</f>
        <v/>
      </c>
      <c r="N202" s="301" t="b">
        <f>IF(AND('FT Fee (Franchise)'!I37="Yes"),IF(VLOOKUP('Fee Summary'!A32,'FT Fee (Franchise)'!$A$19:$J$168,4,FALSE)="",VLOOKUP(A32,'FT Fee (Franchise)'!A37:J186,3,FALSE),CONCATENATE(VLOOKUP(A32,'FT Fee (Franchise)'!A37:J186,3,FALSE)," - ",VLOOKUP('Fee Summary'!A32,'FT Fee (Franchise)'!$A$19:$J$168,4,FALSE))))</f>
        <v>0</v>
      </c>
      <c r="O202" s="301" t="str">
        <f>IF(AND('FT Fee (Franchise)'!I37="Yes"),VLOOKUP('Fee Summary'!A32,'FT Fee (Franchise)'!$A$19:$J$168,10,FALSE),"")</f>
        <v/>
      </c>
      <c r="P202" s="301" t="str">
        <f>IF(VLOOKUP(A32,'FT Fee (Franchise)'!A37:K186,3,FALSE)=0,"",VLOOKUP(A32,'FT Fee (Franchise)'!A37:K186,3,FALSE))</f>
        <v/>
      </c>
      <c r="AG202" s="301" t="str">
        <f t="shared" si="29"/>
        <v/>
      </c>
      <c r="AH202" s="457"/>
    </row>
    <row r="203" spans="11:34" ht="15.75" hidden="1" x14ac:dyDescent="0.25">
      <c r="K203" s="301" t="str">
        <f>IF(ISERROR(RANK(L203,$L$23:$L$473,1)+COUNTIF($L$23:L203,L203)-1)=TRUE,"",RANK(L203,$L$23:$L$473,1)+COUNTIF($L$23:L203,L203)-1)</f>
        <v/>
      </c>
      <c r="L203" s="301" t="str">
        <f t="shared" si="31"/>
        <v/>
      </c>
      <c r="M203" s="301" t="str">
        <f>IF(AND('FT Fee (Franchise)'!I38="Yes"),VLOOKUP('Fee Summary'!A33,'FT Fee (Franchise)'!$A$19:$J$168,2,FALSE),"")</f>
        <v/>
      </c>
      <c r="N203" s="301" t="b">
        <f>IF(AND('FT Fee (Franchise)'!I38="Yes"),IF(VLOOKUP('Fee Summary'!A33,'FT Fee (Franchise)'!$A$19:$J$168,4,FALSE)="",VLOOKUP(A33,'FT Fee (Franchise)'!A38:J187,3,FALSE),CONCATENATE(VLOOKUP(A33,'FT Fee (Franchise)'!A38:J187,3,FALSE)," - ",VLOOKUP('Fee Summary'!A33,'FT Fee (Franchise)'!$A$19:$J$168,4,FALSE))))</f>
        <v>0</v>
      </c>
      <c r="O203" s="301" t="str">
        <f>IF(AND('FT Fee (Franchise)'!I38="Yes"),VLOOKUP('Fee Summary'!A33,'FT Fee (Franchise)'!$A$19:$J$168,10,FALSE),"")</f>
        <v/>
      </c>
      <c r="P203" s="301" t="str">
        <f>IF(VLOOKUP(A33,'FT Fee (Franchise)'!A38:K187,3,FALSE)=0,"",VLOOKUP(A33,'FT Fee (Franchise)'!A38:K187,3,FALSE))</f>
        <v/>
      </c>
      <c r="AG203" s="301" t="str">
        <f t="shared" si="29"/>
        <v/>
      </c>
      <c r="AH203" s="457"/>
    </row>
    <row r="204" spans="11:34" ht="15.75" hidden="1" x14ac:dyDescent="0.25">
      <c r="K204" s="301" t="str">
        <f>IF(ISERROR(RANK(L204,$L$23:$L$473,1)+COUNTIF($L$23:L204,L204)-1)=TRUE,"",RANK(L204,$L$23:$L$473,1)+COUNTIF($L$23:L204,L204)-1)</f>
        <v/>
      </c>
      <c r="L204" s="301" t="str">
        <f t="shared" si="31"/>
        <v/>
      </c>
      <c r="M204" s="301" t="str">
        <f>IF(AND('FT Fee (Franchise)'!I39="Yes"),VLOOKUP('Fee Summary'!A34,'FT Fee (Franchise)'!$A$19:$J$168,2,FALSE),"")</f>
        <v/>
      </c>
      <c r="N204" s="301" t="b">
        <f>IF(AND('FT Fee (Franchise)'!I39="Yes"),IF(VLOOKUP('Fee Summary'!A34,'FT Fee (Franchise)'!$A$19:$J$168,4,FALSE)="",VLOOKUP(A34,'FT Fee (Franchise)'!A39:J188,3,FALSE),CONCATENATE(VLOOKUP(A34,'FT Fee (Franchise)'!A39:J188,3,FALSE)," - ",VLOOKUP('Fee Summary'!A34,'FT Fee (Franchise)'!$A$19:$J$168,4,FALSE))))</f>
        <v>0</v>
      </c>
      <c r="O204" s="301" t="str">
        <f>IF(AND('FT Fee (Franchise)'!I39="Yes"),VLOOKUP('Fee Summary'!A34,'FT Fee (Franchise)'!$A$19:$J$168,10,FALSE),"")</f>
        <v/>
      </c>
      <c r="P204" s="301" t="str">
        <f>IF(VLOOKUP(A34,'FT Fee (Franchise)'!A39:K188,3,FALSE)=0,"",VLOOKUP(A34,'FT Fee (Franchise)'!A39:K188,3,FALSE))</f>
        <v/>
      </c>
      <c r="AG204" s="301" t="str">
        <f t="shared" si="29"/>
        <v/>
      </c>
      <c r="AH204" s="457"/>
    </row>
    <row r="205" spans="11:34" ht="15.75" hidden="1" x14ac:dyDescent="0.25">
      <c r="K205" s="301" t="str">
        <f>IF(ISERROR(RANK(L205,$L$23:$L$473,1)+COUNTIF($L$23:L205,L205)-1)=TRUE,"",RANK(L205,$L$23:$L$473,1)+COUNTIF($L$23:L205,L205)-1)</f>
        <v/>
      </c>
      <c r="L205" s="301" t="str">
        <f t="shared" si="31"/>
        <v/>
      </c>
      <c r="M205" s="301" t="str">
        <f>IF(AND('FT Fee (Franchise)'!I40="Yes"),VLOOKUP('Fee Summary'!A35,'FT Fee (Franchise)'!$A$19:$J$168,2,FALSE),"")</f>
        <v/>
      </c>
      <c r="N205" s="301" t="b">
        <f>IF(AND('FT Fee (Franchise)'!I40="Yes"),IF(VLOOKUP('Fee Summary'!A35,'FT Fee (Franchise)'!$A$19:$J$168,4,FALSE)="",VLOOKUP(A35,'FT Fee (Franchise)'!A40:J189,3,FALSE),CONCATENATE(VLOOKUP(A35,'FT Fee (Franchise)'!A40:J189,3,FALSE)," - ",VLOOKUP('Fee Summary'!A35,'FT Fee (Franchise)'!$A$19:$J$168,4,FALSE))))</f>
        <v>0</v>
      </c>
      <c r="O205" s="301" t="str">
        <f>IF(AND('FT Fee (Franchise)'!I40="Yes"),VLOOKUP('Fee Summary'!A35,'FT Fee (Franchise)'!$A$19:$J$168,10,FALSE),"")</f>
        <v/>
      </c>
      <c r="P205" s="301" t="str">
        <f>IF(VLOOKUP(A35,'FT Fee (Franchise)'!A40:K189,3,FALSE)=0,"",VLOOKUP(A35,'FT Fee (Franchise)'!A40:K189,3,FALSE))</f>
        <v/>
      </c>
      <c r="AG205" s="301" t="str">
        <f t="shared" si="29"/>
        <v/>
      </c>
      <c r="AH205" s="457"/>
    </row>
    <row r="206" spans="11:34" ht="15.75" hidden="1" x14ac:dyDescent="0.25">
      <c r="K206" s="301" t="str">
        <f>IF(ISERROR(RANK(L206,$L$23:$L$473,1)+COUNTIF($L$23:L206,L206)-1)=TRUE,"",RANK(L206,$L$23:$L$473,1)+COUNTIF($L$23:L206,L206)-1)</f>
        <v/>
      </c>
      <c r="L206" s="301" t="str">
        <f t="shared" si="31"/>
        <v/>
      </c>
      <c r="M206" s="301" t="str">
        <f>IF(AND('FT Fee (Franchise)'!I41="Yes"),VLOOKUP('Fee Summary'!A36,'FT Fee (Franchise)'!$A$19:$J$168,2,FALSE),"")</f>
        <v/>
      </c>
      <c r="N206" s="301" t="b">
        <f>IF(AND('FT Fee (Franchise)'!I41="Yes"),IF(VLOOKUP('Fee Summary'!A36,'FT Fee (Franchise)'!$A$19:$J$168,4,FALSE)="",VLOOKUP(A36,'FT Fee (Franchise)'!A41:J190,3,FALSE),CONCATENATE(VLOOKUP(A36,'FT Fee (Franchise)'!A41:J190,3,FALSE)," - ",VLOOKUP('Fee Summary'!A36,'FT Fee (Franchise)'!$A$19:$J$168,4,FALSE))))</f>
        <v>0</v>
      </c>
      <c r="O206" s="301" t="str">
        <f>IF(AND('FT Fee (Franchise)'!I41="Yes"),VLOOKUP('Fee Summary'!A36,'FT Fee (Franchise)'!$A$19:$J$168,10,FALSE),"")</f>
        <v/>
      </c>
      <c r="P206" s="301" t="str">
        <f>IF(VLOOKUP(A36,'FT Fee (Franchise)'!A41:K190,3,FALSE)=0,"",VLOOKUP(A36,'FT Fee (Franchise)'!A41:K190,3,FALSE))</f>
        <v/>
      </c>
      <c r="AG206" s="301" t="str">
        <f t="shared" si="29"/>
        <v/>
      </c>
      <c r="AH206" s="457"/>
    </row>
    <row r="207" spans="11:34" ht="15.75" hidden="1" x14ac:dyDescent="0.25">
      <c r="K207" s="301" t="str">
        <f>IF(ISERROR(RANK(L207,$L$23:$L$473,1)+COUNTIF($L$23:L207,L207)-1)=TRUE,"",RANK(L207,$L$23:$L$473,1)+COUNTIF($L$23:L207,L207)-1)</f>
        <v/>
      </c>
      <c r="L207" s="301" t="str">
        <f t="shared" si="31"/>
        <v/>
      </c>
      <c r="M207" s="301" t="str">
        <f>IF(AND('FT Fee (Franchise)'!I42="Yes"),VLOOKUP('Fee Summary'!A37,'FT Fee (Franchise)'!$A$19:$J$168,2,FALSE),"")</f>
        <v/>
      </c>
      <c r="N207" s="301" t="b">
        <f>IF(AND('FT Fee (Franchise)'!I42="Yes"),IF(VLOOKUP('Fee Summary'!A37,'FT Fee (Franchise)'!$A$19:$J$168,4,FALSE)="",VLOOKUP(A37,'FT Fee (Franchise)'!A42:J191,3,FALSE),CONCATENATE(VLOOKUP(A37,'FT Fee (Franchise)'!A42:J191,3,FALSE)," - ",VLOOKUP('Fee Summary'!A37,'FT Fee (Franchise)'!$A$19:$J$168,4,FALSE))))</f>
        <v>0</v>
      </c>
      <c r="O207" s="301" t="str">
        <f>IF(AND('FT Fee (Franchise)'!I42="Yes"),VLOOKUP('Fee Summary'!A37,'FT Fee (Franchise)'!$A$19:$J$168,10,FALSE),"")</f>
        <v/>
      </c>
      <c r="P207" s="301" t="str">
        <f>IF(VLOOKUP(A37,'FT Fee (Franchise)'!A42:K191,3,FALSE)=0,"",VLOOKUP(A37,'FT Fee (Franchise)'!A42:K191,3,FALSE))</f>
        <v/>
      </c>
      <c r="AG207" s="301" t="str">
        <f t="shared" si="29"/>
        <v/>
      </c>
      <c r="AH207" s="457"/>
    </row>
    <row r="208" spans="11:34" ht="15.75" hidden="1" x14ac:dyDescent="0.25">
      <c r="K208" s="301" t="str">
        <f>IF(ISERROR(RANK(L208,$L$23:$L$473,1)+COUNTIF($L$23:L208,L208)-1)=TRUE,"",RANK(L208,$L$23:$L$473,1)+COUNTIF($L$23:L208,L208)-1)</f>
        <v/>
      </c>
      <c r="L208" s="301" t="str">
        <f t="shared" si="31"/>
        <v/>
      </c>
      <c r="M208" s="301" t="str">
        <f>IF(AND('FT Fee (Franchise)'!I43="Yes"),VLOOKUP('Fee Summary'!A38,'FT Fee (Franchise)'!$A$19:$J$168,2,FALSE),"")</f>
        <v/>
      </c>
      <c r="N208" s="301" t="b">
        <f>IF(AND('FT Fee (Franchise)'!I43="Yes"),IF(VLOOKUP('Fee Summary'!A38,'FT Fee (Franchise)'!$A$19:$J$168,4,FALSE)="",VLOOKUP(A38,'FT Fee (Franchise)'!A43:J192,3,FALSE),CONCATENATE(VLOOKUP(A38,'FT Fee (Franchise)'!A43:J192,3,FALSE)," - ",VLOOKUP('Fee Summary'!A38,'FT Fee (Franchise)'!$A$19:$J$168,4,FALSE))))</f>
        <v>0</v>
      </c>
      <c r="O208" s="301" t="str">
        <f>IF(AND('FT Fee (Franchise)'!I43="Yes"),VLOOKUP('Fee Summary'!A38,'FT Fee (Franchise)'!$A$19:$J$168,10,FALSE),"")</f>
        <v/>
      </c>
      <c r="P208" s="301" t="str">
        <f>IF(VLOOKUP(A38,'FT Fee (Franchise)'!A43:K192,3,FALSE)=0,"",VLOOKUP(A38,'FT Fee (Franchise)'!A43:K192,3,FALSE))</f>
        <v/>
      </c>
      <c r="AG208" s="301" t="str">
        <f t="shared" si="29"/>
        <v/>
      </c>
      <c r="AH208" s="457"/>
    </row>
    <row r="209" spans="11:34" ht="15.75" hidden="1" x14ac:dyDescent="0.25">
      <c r="K209" s="301" t="str">
        <f>IF(ISERROR(RANK(L209,$L$23:$L$473,1)+COUNTIF($L$23:L209,L209)-1)=TRUE,"",RANK(L209,$L$23:$L$473,1)+COUNTIF($L$23:L209,L209)-1)</f>
        <v/>
      </c>
      <c r="L209" s="301" t="str">
        <f t="shared" si="31"/>
        <v/>
      </c>
      <c r="M209" s="301" t="str">
        <f>IF(AND('FT Fee (Franchise)'!I44="Yes"),VLOOKUP('Fee Summary'!A39,'FT Fee (Franchise)'!$A$19:$J$168,2,FALSE),"")</f>
        <v/>
      </c>
      <c r="N209" s="301" t="b">
        <f>IF(AND('FT Fee (Franchise)'!I44="Yes"),IF(VLOOKUP('Fee Summary'!A39,'FT Fee (Franchise)'!$A$19:$J$168,4,FALSE)="",VLOOKUP(A39,'FT Fee (Franchise)'!A44:J193,3,FALSE),CONCATENATE(VLOOKUP(A39,'FT Fee (Franchise)'!A44:J193,3,FALSE)," - ",VLOOKUP('Fee Summary'!A39,'FT Fee (Franchise)'!$A$19:$J$168,4,FALSE))))</f>
        <v>0</v>
      </c>
      <c r="O209" s="301" t="str">
        <f>IF(AND('FT Fee (Franchise)'!I44="Yes"),VLOOKUP('Fee Summary'!A39,'FT Fee (Franchise)'!$A$19:$J$168,10,FALSE),"")</f>
        <v/>
      </c>
      <c r="P209" s="301" t="str">
        <f>IF(VLOOKUP(A39,'FT Fee (Franchise)'!A44:K193,3,FALSE)=0,"",VLOOKUP(A39,'FT Fee (Franchise)'!A44:K193,3,FALSE))</f>
        <v/>
      </c>
      <c r="AG209" s="301" t="str">
        <f t="shared" si="29"/>
        <v/>
      </c>
      <c r="AH209" s="457"/>
    </row>
    <row r="210" spans="11:34" ht="15.75" hidden="1" x14ac:dyDescent="0.25">
      <c r="K210" s="301" t="str">
        <f>IF(ISERROR(RANK(L210,$L$23:$L$473,1)+COUNTIF($L$23:L210,L210)-1)=TRUE,"",RANK(L210,$L$23:$L$473,1)+COUNTIF($L$23:L210,L210)-1)</f>
        <v/>
      </c>
      <c r="L210" s="301" t="str">
        <f t="shared" si="31"/>
        <v/>
      </c>
      <c r="M210" s="301" t="str">
        <f>IF(AND('FT Fee (Franchise)'!I45="Yes"),VLOOKUP('Fee Summary'!A40,'FT Fee (Franchise)'!$A$19:$J$168,2,FALSE),"")</f>
        <v/>
      </c>
      <c r="N210" s="301" t="b">
        <f>IF(AND('FT Fee (Franchise)'!I45="Yes"),IF(VLOOKUP('Fee Summary'!A40,'FT Fee (Franchise)'!$A$19:$J$168,4,FALSE)="",VLOOKUP(A40,'FT Fee (Franchise)'!A45:J194,3,FALSE),CONCATENATE(VLOOKUP(A40,'FT Fee (Franchise)'!A45:J194,3,FALSE)," - ",VLOOKUP('Fee Summary'!A40,'FT Fee (Franchise)'!$A$19:$J$168,4,FALSE))))</f>
        <v>0</v>
      </c>
      <c r="O210" s="301" t="str">
        <f>IF(AND('FT Fee (Franchise)'!I45="Yes"),VLOOKUP('Fee Summary'!A40,'FT Fee (Franchise)'!$A$19:$J$168,10,FALSE),"")</f>
        <v/>
      </c>
      <c r="P210" s="301" t="str">
        <f>IF(VLOOKUP(A40,'FT Fee (Franchise)'!A45:K194,3,FALSE)=0,"",VLOOKUP(A40,'FT Fee (Franchise)'!A45:K194,3,FALSE))</f>
        <v/>
      </c>
      <c r="AG210" s="301" t="str">
        <f t="shared" si="29"/>
        <v/>
      </c>
      <c r="AH210" s="457"/>
    </row>
    <row r="211" spans="11:34" ht="15.75" hidden="1" x14ac:dyDescent="0.25">
      <c r="K211" s="301" t="str">
        <f>IF(ISERROR(RANK(L211,$L$23:$L$473,1)+COUNTIF($L$23:L211,L211)-1)=TRUE,"",RANK(L211,$L$23:$L$473,1)+COUNTIF($L$23:L211,L211)-1)</f>
        <v/>
      </c>
      <c r="L211" s="301" t="str">
        <f t="shared" si="31"/>
        <v/>
      </c>
      <c r="M211" s="301" t="str">
        <f>IF(AND('FT Fee (Franchise)'!I46="Yes"),VLOOKUP('Fee Summary'!A41,'FT Fee (Franchise)'!$A$19:$J$168,2,FALSE),"")</f>
        <v/>
      </c>
      <c r="N211" s="301" t="b">
        <f>IF(AND('FT Fee (Franchise)'!I46="Yes"),IF(VLOOKUP('Fee Summary'!A41,'FT Fee (Franchise)'!$A$19:$J$168,4,FALSE)="",VLOOKUP(A41,'FT Fee (Franchise)'!A46:J195,3,FALSE),CONCATENATE(VLOOKUP(A41,'FT Fee (Franchise)'!A46:J195,3,FALSE)," - ",VLOOKUP('Fee Summary'!A41,'FT Fee (Franchise)'!$A$19:$J$168,4,FALSE))))</f>
        <v>0</v>
      </c>
      <c r="O211" s="301" t="str">
        <f>IF(AND('FT Fee (Franchise)'!I46="Yes"),VLOOKUP('Fee Summary'!A41,'FT Fee (Franchise)'!$A$19:$J$168,10,FALSE),"")</f>
        <v/>
      </c>
      <c r="P211" s="301" t="str">
        <f>IF(VLOOKUP(A41,'FT Fee (Franchise)'!A46:K195,3,FALSE)=0,"",VLOOKUP(A41,'FT Fee (Franchise)'!A46:K195,3,FALSE))</f>
        <v/>
      </c>
      <c r="AG211" s="301" t="str">
        <f t="shared" si="29"/>
        <v/>
      </c>
      <c r="AH211" s="457"/>
    </row>
    <row r="212" spans="11:34" ht="15.75" hidden="1" x14ac:dyDescent="0.25">
      <c r="K212" s="301" t="str">
        <f>IF(ISERROR(RANK(L212,$L$23:$L$473,1)+COUNTIF($L$23:L212,L212)-1)=TRUE,"",RANK(L212,$L$23:$L$473,1)+COUNTIF($L$23:L212,L212)-1)</f>
        <v/>
      </c>
      <c r="L212" s="301" t="str">
        <f t="shared" si="31"/>
        <v/>
      </c>
      <c r="M212" s="301" t="str">
        <f>IF(AND('FT Fee (Franchise)'!I47="Yes"),VLOOKUP('Fee Summary'!A42,'FT Fee (Franchise)'!$A$19:$J$168,2,FALSE),"")</f>
        <v/>
      </c>
      <c r="N212" s="301" t="b">
        <f>IF(AND('FT Fee (Franchise)'!I47="Yes"),IF(VLOOKUP('Fee Summary'!A42,'FT Fee (Franchise)'!$A$19:$J$168,4,FALSE)="",VLOOKUP(A42,'FT Fee (Franchise)'!A47:J196,3,FALSE),CONCATENATE(VLOOKUP(A42,'FT Fee (Franchise)'!A47:J196,3,FALSE)," - ",VLOOKUP('Fee Summary'!A42,'FT Fee (Franchise)'!$A$19:$J$168,4,FALSE))))</f>
        <v>0</v>
      </c>
      <c r="O212" s="301" t="str">
        <f>IF(AND('FT Fee (Franchise)'!I47="Yes"),VLOOKUP('Fee Summary'!A42,'FT Fee (Franchise)'!$A$19:$J$168,10,FALSE),"")</f>
        <v/>
      </c>
      <c r="P212" s="301" t="str">
        <f>IF(VLOOKUP(A42,'FT Fee (Franchise)'!A47:K196,3,FALSE)=0,"",VLOOKUP(A42,'FT Fee (Franchise)'!A47:K196,3,FALSE))</f>
        <v/>
      </c>
      <c r="AG212" s="301" t="str">
        <f t="shared" si="29"/>
        <v/>
      </c>
      <c r="AH212" s="457"/>
    </row>
    <row r="213" spans="11:34" ht="15.75" hidden="1" x14ac:dyDescent="0.25">
      <c r="K213" s="301" t="str">
        <f>IF(ISERROR(RANK(L213,$L$23:$L$473,1)+COUNTIF($L$23:L213,L213)-1)=TRUE,"",RANK(L213,$L$23:$L$473,1)+COUNTIF($L$23:L213,L213)-1)</f>
        <v/>
      </c>
      <c r="L213" s="301" t="str">
        <f t="shared" si="31"/>
        <v/>
      </c>
      <c r="M213" s="301" t="str">
        <f>IF(AND('FT Fee (Franchise)'!I48="Yes"),VLOOKUP('Fee Summary'!A43,'FT Fee (Franchise)'!$A$19:$J$168,2,FALSE),"")</f>
        <v/>
      </c>
      <c r="N213" s="301" t="b">
        <f>IF(AND('FT Fee (Franchise)'!I48="Yes"),IF(VLOOKUP('Fee Summary'!A43,'FT Fee (Franchise)'!$A$19:$J$168,4,FALSE)="",VLOOKUP(A43,'FT Fee (Franchise)'!A48:J197,3,FALSE),CONCATENATE(VLOOKUP(A43,'FT Fee (Franchise)'!A48:J197,3,FALSE)," - ",VLOOKUP('Fee Summary'!A43,'FT Fee (Franchise)'!$A$19:$J$168,4,FALSE))))</f>
        <v>0</v>
      </c>
      <c r="O213" s="301" t="str">
        <f>IF(AND('FT Fee (Franchise)'!I48="Yes"),VLOOKUP('Fee Summary'!A43,'FT Fee (Franchise)'!$A$19:$J$168,10,FALSE),"")</f>
        <v/>
      </c>
      <c r="P213" s="301" t="str">
        <f>IF(VLOOKUP(A43,'FT Fee (Franchise)'!A48:K197,3,FALSE)=0,"",VLOOKUP(A43,'FT Fee (Franchise)'!A48:K197,3,FALSE))</f>
        <v/>
      </c>
      <c r="AG213" s="301" t="str">
        <f t="shared" si="29"/>
        <v/>
      </c>
      <c r="AH213" s="457"/>
    </row>
    <row r="214" spans="11:34" ht="15.75" hidden="1" x14ac:dyDescent="0.25">
      <c r="K214" s="301" t="str">
        <f>IF(ISERROR(RANK(L214,$L$23:$L$473,1)+COUNTIF($L$23:L214,L214)-1)=TRUE,"",RANK(L214,$L$23:$L$473,1)+COUNTIF($L$23:L214,L214)-1)</f>
        <v/>
      </c>
      <c r="L214" s="301" t="str">
        <f t="shared" si="31"/>
        <v/>
      </c>
      <c r="M214" s="301" t="str">
        <f>IF(AND('FT Fee (Franchise)'!I49="Yes"),VLOOKUP('Fee Summary'!A44,'FT Fee (Franchise)'!$A$19:$J$168,2,FALSE),"")</f>
        <v/>
      </c>
      <c r="N214" s="301" t="b">
        <f>IF(AND('FT Fee (Franchise)'!I49="Yes"),IF(VLOOKUP('Fee Summary'!A44,'FT Fee (Franchise)'!$A$19:$J$168,4,FALSE)="",VLOOKUP(A44,'FT Fee (Franchise)'!A49:J198,3,FALSE),CONCATENATE(VLOOKUP(A44,'FT Fee (Franchise)'!A49:J198,3,FALSE)," - ",VLOOKUP('Fee Summary'!A44,'FT Fee (Franchise)'!$A$19:$J$168,4,FALSE))))</f>
        <v>0</v>
      </c>
      <c r="O214" s="301" t="str">
        <f>IF(AND('FT Fee (Franchise)'!I49="Yes"),VLOOKUP('Fee Summary'!A44,'FT Fee (Franchise)'!$A$19:$J$168,10,FALSE),"")</f>
        <v/>
      </c>
      <c r="P214" s="301" t="str">
        <f>IF(VLOOKUP(A44,'FT Fee (Franchise)'!A49:K198,3,FALSE)=0,"",VLOOKUP(A44,'FT Fee (Franchise)'!A49:K198,3,FALSE))</f>
        <v/>
      </c>
      <c r="AG214" s="301" t="str">
        <f t="shared" si="29"/>
        <v/>
      </c>
      <c r="AH214" s="457"/>
    </row>
    <row r="215" spans="11:34" ht="15.75" hidden="1" x14ac:dyDescent="0.25">
      <c r="K215" s="301" t="str">
        <f>IF(ISERROR(RANK(L215,$L$23:$L$473,1)+COUNTIF($L$23:L215,L215)-1)=TRUE,"",RANK(L215,$L$23:$L$473,1)+COUNTIF($L$23:L215,L215)-1)</f>
        <v/>
      </c>
      <c r="L215" s="301" t="str">
        <f t="shared" si="31"/>
        <v/>
      </c>
      <c r="M215" s="301" t="str">
        <f>IF(AND('FT Fee (Franchise)'!I50="Yes"),VLOOKUP('Fee Summary'!A45,'FT Fee (Franchise)'!$A$19:$J$168,2,FALSE),"")</f>
        <v/>
      </c>
      <c r="N215" s="301" t="b">
        <f>IF(AND('FT Fee (Franchise)'!I50="Yes"),IF(VLOOKUP('Fee Summary'!A45,'FT Fee (Franchise)'!$A$19:$J$168,4,FALSE)="",VLOOKUP(A45,'FT Fee (Franchise)'!A50:J199,3,FALSE),CONCATENATE(VLOOKUP(A45,'FT Fee (Franchise)'!A50:J199,3,FALSE)," - ",VLOOKUP('Fee Summary'!A45,'FT Fee (Franchise)'!$A$19:$J$168,4,FALSE))))</f>
        <v>0</v>
      </c>
      <c r="O215" s="301" t="str">
        <f>IF(AND('FT Fee (Franchise)'!I50="Yes"),VLOOKUP('Fee Summary'!A45,'FT Fee (Franchise)'!$A$19:$J$168,10,FALSE),"")</f>
        <v/>
      </c>
      <c r="P215" s="301" t="str">
        <f>IF(VLOOKUP(A45,'FT Fee (Franchise)'!A50:K199,3,FALSE)=0,"",VLOOKUP(A45,'FT Fee (Franchise)'!A50:K199,3,FALSE))</f>
        <v/>
      </c>
      <c r="AG215" s="301" t="str">
        <f t="shared" si="29"/>
        <v/>
      </c>
      <c r="AH215" s="457"/>
    </row>
    <row r="216" spans="11:34" ht="15.75" hidden="1" x14ac:dyDescent="0.25">
      <c r="K216" s="301" t="str">
        <f>IF(ISERROR(RANK(L216,$L$23:$L$473,1)+COUNTIF($L$23:L216,L216)-1)=TRUE,"",RANK(L216,$L$23:$L$473,1)+COUNTIF($L$23:L216,L216)-1)</f>
        <v/>
      </c>
      <c r="L216" s="301" t="str">
        <f t="shared" si="31"/>
        <v/>
      </c>
      <c r="M216" s="301" t="str">
        <f>IF(AND('FT Fee (Franchise)'!I51="Yes"),VLOOKUP('Fee Summary'!A46,'FT Fee (Franchise)'!$A$19:$J$168,2,FALSE),"")</f>
        <v/>
      </c>
      <c r="N216" s="301" t="b">
        <f>IF(AND('FT Fee (Franchise)'!I51="Yes"),IF(VLOOKUP('Fee Summary'!A46,'FT Fee (Franchise)'!$A$19:$J$168,4,FALSE)="",VLOOKUP(A46,'FT Fee (Franchise)'!A51:J200,3,FALSE),CONCATENATE(VLOOKUP(A46,'FT Fee (Franchise)'!A51:J200,3,FALSE)," - ",VLOOKUP('Fee Summary'!A46,'FT Fee (Franchise)'!$A$19:$J$168,4,FALSE))))</f>
        <v>0</v>
      </c>
      <c r="O216" s="301" t="str">
        <f>IF(AND('FT Fee (Franchise)'!I51="Yes"),VLOOKUP('Fee Summary'!A46,'FT Fee (Franchise)'!$A$19:$J$168,10,FALSE),"")</f>
        <v/>
      </c>
      <c r="P216" s="301" t="str">
        <f>IF(VLOOKUP(A46,'FT Fee (Franchise)'!A51:K200,3,FALSE)=0,"",VLOOKUP(A46,'FT Fee (Franchise)'!A51:K200,3,FALSE))</f>
        <v/>
      </c>
      <c r="AG216" s="301" t="str">
        <f t="shared" si="29"/>
        <v/>
      </c>
      <c r="AH216" s="457"/>
    </row>
    <row r="217" spans="11:34" ht="15.75" hidden="1" x14ac:dyDescent="0.25">
      <c r="K217" s="301" t="str">
        <f>IF(ISERROR(RANK(L217,$L$23:$L$473,1)+COUNTIF($L$23:L217,L217)-1)=TRUE,"",RANK(L217,$L$23:$L$473,1)+COUNTIF($L$23:L217,L217)-1)</f>
        <v/>
      </c>
      <c r="L217" s="301" t="str">
        <f t="shared" ref="L217:L248" si="32">IF(ISERROR(VLOOKUP(M217,$AA$10:$AA$21,1,FALSE))=TRUE,"",IF(VLOOKUP(M217,$AA$10:$AC$21,2,FALSE)="",VLOOKUP(P217,$AH$11:$AI$160,2,FALSE),VLOOKUP(M217,$AA$10:$AC$21,2,FALSE)))</f>
        <v/>
      </c>
      <c r="M217" s="301" t="str">
        <f>IF(AND('FT Fee (Franchise)'!I52="Yes"),VLOOKUP('Fee Summary'!A47,'FT Fee (Franchise)'!$A$19:$J$168,2,FALSE),"")</f>
        <v/>
      </c>
      <c r="N217" s="301" t="b">
        <f>IF(AND('FT Fee (Franchise)'!I52="Yes"),IF(VLOOKUP('Fee Summary'!A47,'FT Fee (Franchise)'!$A$19:$J$168,4,FALSE)="",VLOOKUP(A47,'FT Fee (Franchise)'!A52:J201,3,FALSE),CONCATENATE(VLOOKUP(A47,'FT Fee (Franchise)'!A52:J201,3,FALSE)," - ",VLOOKUP('Fee Summary'!A47,'FT Fee (Franchise)'!$A$19:$J$168,4,FALSE))))</f>
        <v>0</v>
      </c>
      <c r="O217" s="301" t="str">
        <f>IF(AND('FT Fee (Franchise)'!I52="Yes"),VLOOKUP('Fee Summary'!A47,'FT Fee (Franchise)'!$A$19:$J$168,10,FALSE),"")</f>
        <v/>
      </c>
      <c r="P217" s="301" t="str">
        <f>IF(VLOOKUP(A47,'FT Fee (Franchise)'!A52:K201,3,FALSE)=0,"",VLOOKUP(A47,'FT Fee (Franchise)'!A52:K201,3,FALSE))</f>
        <v/>
      </c>
      <c r="AG217" s="301" t="str">
        <f t="shared" si="29"/>
        <v/>
      </c>
      <c r="AH217" s="457"/>
    </row>
    <row r="218" spans="11:34" ht="15.75" hidden="1" x14ac:dyDescent="0.25">
      <c r="K218" s="301" t="str">
        <f>IF(ISERROR(RANK(L218,$L$23:$L$473,1)+COUNTIF($L$23:L218,L218)-1)=TRUE,"",RANK(L218,$L$23:$L$473,1)+COUNTIF($L$23:L218,L218)-1)</f>
        <v/>
      </c>
      <c r="L218" s="301" t="str">
        <f t="shared" si="32"/>
        <v/>
      </c>
      <c r="M218" s="301" t="str">
        <f>IF(AND('FT Fee (Franchise)'!I53="Yes"),VLOOKUP('Fee Summary'!A48,'FT Fee (Franchise)'!$A$19:$J$168,2,FALSE),"")</f>
        <v/>
      </c>
      <c r="N218" s="301" t="b">
        <f>IF(AND('FT Fee (Franchise)'!I53="Yes"),IF(VLOOKUP('Fee Summary'!A48,'FT Fee (Franchise)'!$A$19:$J$168,4,FALSE)="",VLOOKUP(A48,'FT Fee (Franchise)'!A53:J202,3,FALSE),CONCATENATE(VLOOKUP(A48,'FT Fee (Franchise)'!A53:J202,3,FALSE)," - ",VLOOKUP('Fee Summary'!A48,'FT Fee (Franchise)'!$A$19:$J$168,4,FALSE))))</f>
        <v>0</v>
      </c>
      <c r="O218" s="301" t="str">
        <f>IF(AND('FT Fee (Franchise)'!I53="Yes"),VLOOKUP('Fee Summary'!A48,'FT Fee (Franchise)'!$A$19:$J$168,10,FALSE),"")</f>
        <v/>
      </c>
      <c r="P218" s="301" t="str">
        <f>IF(VLOOKUP(A48,'FT Fee (Franchise)'!A53:K202,3,FALSE)=0,"",VLOOKUP(A48,'FT Fee (Franchise)'!A53:K202,3,FALSE))</f>
        <v/>
      </c>
      <c r="AG218" s="301" t="str">
        <f t="shared" si="29"/>
        <v/>
      </c>
      <c r="AH218" s="457"/>
    </row>
    <row r="219" spans="11:34" ht="15.75" hidden="1" x14ac:dyDescent="0.25">
      <c r="K219" s="301" t="str">
        <f>IF(ISERROR(RANK(L219,$L$23:$L$473,1)+COUNTIF($L$23:L219,L219)-1)=TRUE,"",RANK(L219,$L$23:$L$473,1)+COUNTIF($L$23:L219,L219)-1)</f>
        <v/>
      </c>
      <c r="L219" s="301" t="str">
        <f t="shared" si="32"/>
        <v/>
      </c>
      <c r="M219" s="301" t="str">
        <f>IF(AND('FT Fee (Franchise)'!I54="Yes"),VLOOKUP('Fee Summary'!A49,'FT Fee (Franchise)'!$A$19:$J$168,2,FALSE),"")</f>
        <v/>
      </c>
      <c r="N219" s="301" t="b">
        <f>IF(AND('FT Fee (Franchise)'!I54="Yes"),IF(VLOOKUP('Fee Summary'!A49,'FT Fee (Franchise)'!$A$19:$J$168,4,FALSE)="",VLOOKUP(A49,'FT Fee (Franchise)'!A54:J203,3,FALSE),CONCATENATE(VLOOKUP(A49,'FT Fee (Franchise)'!A54:J203,3,FALSE)," - ",VLOOKUP('Fee Summary'!A49,'FT Fee (Franchise)'!$A$19:$J$168,4,FALSE))))</f>
        <v>0</v>
      </c>
      <c r="O219" s="301" t="str">
        <f>IF(AND('FT Fee (Franchise)'!I54="Yes"),VLOOKUP('Fee Summary'!A49,'FT Fee (Franchise)'!$A$19:$J$168,10,FALSE),"")</f>
        <v/>
      </c>
      <c r="P219" s="301" t="str">
        <f>IF(VLOOKUP(A49,'FT Fee (Franchise)'!A54:K203,3,FALSE)=0,"",VLOOKUP(A49,'FT Fee (Franchise)'!A54:K203,3,FALSE))</f>
        <v/>
      </c>
      <c r="AG219" s="301" t="str">
        <f t="shared" si="29"/>
        <v/>
      </c>
      <c r="AH219" s="457"/>
    </row>
    <row r="220" spans="11:34" ht="15.75" hidden="1" x14ac:dyDescent="0.25">
      <c r="K220" s="301" t="str">
        <f>IF(ISERROR(RANK(L220,$L$23:$L$473,1)+COUNTIF($L$23:L220,L220)-1)=TRUE,"",RANK(L220,$L$23:$L$473,1)+COUNTIF($L$23:L220,L220)-1)</f>
        <v/>
      </c>
      <c r="L220" s="301" t="str">
        <f t="shared" si="32"/>
        <v/>
      </c>
      <c r="M220" s="301" t="str">
        <f>IF(AND('FT Fee (Franchise)'!I55="Yes"),VLOOKUP('Fee Summary'!A50,'FT Fee (Franchise)'!$A$19:$J$168,2,FALSE),"")</f>
        <v/>
      </c>
      <c r="N220" s="301" t="b">
        <f>IF(AND('FT Fee (Franchise)'!I55="Yes"),IF(VLOOKUP('Fee Summary'!A50,'FT Fee (Franchise)'!$A$19:$J$168,4,FALSE)="",VLOOKUP(A50,'FT Fee (Franchise)'!A55:J204,3,FALSE),CONCATENATE(VLOOKUP(A50,'FT Fee (Franchise)'!A55:J204,3,FALSE)," - ",VLOOKUP('Fee Summary'!A50,'FT Fee (Franchise)'!$A$19:$J$168,4,FALSE))))</f>
        <v>0</v>
      </c>
      <c r="O220" s="301" t="str">
        <f>IF(AND('FT Fee (Franchise)'!I55="Yes"),VLOOKUP('Fee Summary'!A50,'FT Fee (Franchise)'!$A$19:$J$168,10,FALSE),"")</f>
        <v/>
      </c>
      <c r="P220" s="301" t="str">
        <f>IF(VLOOKUP(A50,'FT Fee (Franchise)'!A55:K204,3,FALSE)=0,"",VLOOKUP(A50,'FT Fee (Franchise)'!A55:K204,3,FALSE))</f>
        <v/>
      </c>
      <c r="AG220" s="301" t="str">
        <f t="shared" si="29"/>
        <v/>
      </c>
      <c r="AH220" s="457"/>
    </row>
    <row r="221" spans="11:34" ht="15.75" hidden="1" x14ac:dyDescent="0.25">
      <c r="K221" s="301" t="str">
        <f>IF(ISERROR(RANK(L221,$L$23:$L$473,1)+COUNTIF($L$23:L221,L221)-1)=TRUE,"",RANK(L221,$L$23:$L$473,1)+COUNTIF($L$23:L221,L221)-1)</f>
        <v/>
      </c>
      <c r="L221" s="301" t="str">
        <f t="shared" si="32"/>
        <v/>
      </c>
      <c r="M221" s="301" t="str">
        <f>IF(AND('FT Fee (Franchise)'!I56="Yes"),VLOOKUP('Fee Summary'!A51,'FT Fee (Franchise)'!$A$19:$J$168,2,FALSE),"")</f>
        <v/>
      </c>
      <c r="N221" s="301" t="b">
        <f>IF(AND('FT Fee (Franchise)'!I56="Yes"),IF(VLOOKUP('Fee Summary'!A51,'FT Fee (Franchise)'!$A$19:$J$168,4,FALSE)="",VLOOKUP(A51,'FT Fee (Franchise)'!A56:J205,3,FALSE),CONCATENATE(VLOOKUP(A51,'FT Fee (Franchise)'!A56:J205,3,FALSE)," - ",VLOOKUP('Fee Summary'!A51,'FT Fee (Franchise)'!$A$19:$J$168,4,FALSE))))</f>
        <v>0</v>
      </c>
      <c r="O221" s="301" t="str">
        <f>IF(AND('FT Fee (Franchise)'!I56="Yes"),VLOOKUP('Fee Summary'!A51,'FT Fee (Franchise)'!$A$19:$J$168,10,FALSE),"")</f>
        <v/>
      </c>
      <c r="P221" s="301" t="str">
        <f>IF(VLOOKUP(A51,'FT Fee (Franchise)'!A56:K205,3,FALSE)=0,"",VLOOKUP(A51,'FT Fee (Franchise)'!A56:K205,3,FALSE))</f>
        <v/>
      </c>
      <c r="AG221" s="301" t="str">
        <f t="shared" si="29"/>
        <v/>
      </c>
      <c r="AH221" s="457"/>
    </row>
    <row r="222" spans="11:34" ht="15.75" hidden="1" x14ac:dyDescent="0.25">
      <c r="K222" s="301" t="str">
        <f>IF(ISERROR(RANK(L222,$L$23:$L$473,1)+COUNTIF($L$23:L222,L222)-1)=TRUE,"",RANK(L222,$L$23:$L$473,1)+COUNTIF($L$23:L222,L222)-1)</f>
        <v/>
      </c>
      <c r="L222" s="301" t="str">
        <f t="shared" si="32"/>
        <v/>
      </c>
      <c r="M222" s="301" t="str">
        <f>IF(AND('FT Fee (Franchise)'!I57="Yes"),VLOOKUP('Fee Summary'!A52,'FT Fee (Franchise)'!$A$19:$J$168,2,FALSE),"")</f>
        <v/>
      </c>
      <c r="N222" s="301" t="b">
        <f>IF(AND('FT Fee (Franchise)'!I57="Yes"),IF(VLOOKUP('Fee Summary'!A52,'FT Fee (Franchise)'!$A$19:$J$168,4,FALSE)="",VLOOKUP(A52,'FT Fee (Franchise)'!A57:J206,3,FALSE),CONCATENATE(VLOOKUP(A52,'FT Fee (Franchise)'!A57:J206,3,FALSE)," - ",VLOOKUP('Fee Summary'!A52,'FT Fee (Franchise)'!$A$19:$J$168,4,FALSE))))</f>
        <v>0</v>
      </c>
      <c r="O222" s="301" t="str">
        <f>IF(AND('FT Fee (Franchise)'!I57="Yes"),VLOOKUP('Fee Summary'!A52,'FT Fee (Franchise)'!$A$19:$J$168,10,FALSE),"")</f>
        <v/>
      </c>
      <c r="P222" s="301" t="str">
        <f>IF(VLOOKUP(A52,'FT Fee (Franchise)'!A57:K206,3,FALSE)=0,"",VLOOKUP(A52,'FT Fee (Franchise)'!A57:K206,3,FALSE))</f>
        <v/>
      </c>
      <c r="AG222" s="301" t="str">
        <f t="shared" si="29"/>
        <v/>
      </c>
      <c r="AH222" s="457"/>
    </row>
    <row r="223" spans="11:34" ht="15.75" hidden="1" x14ac:dyDescent="0.25">
      <c r="K223" s="301" t="str">
        <f>IF(ISERROR(RANK(L223,$L$23:$L$473,1)+COUNTIF($L$23:L223,L223)-1)=TRUE,"",RANK(L223,$L$23:$L$473,1)+COUNTIF($L$23:L223,L223)-1)</f>
        <v/>
      </c>
      <c r="L223" s="301" t="str">
        <f t="shared" si="32"/>
        <v/>
      </c>
      <c r="M223" s="301" t="str">
        <f>IF(AND('FT Fee (Franchise)'!I58="Yes"),VLOOKUP('Fee Summary'!A53,'FT Fee (Franchise)'!$A$19:$J$168,2,FALSE),"")</f>
        <v/>
      </c>
      <c r="N223" s="301" t="b">
        <f>IF(AND('FT Fee (Franchise)'!I58="Yes"),IF(VLOOKUP('Fee Summary'!A53,'FT Fee (Franchise)'!$A$19:$J$168,4,FALSE)="",VLOOKUP(A53,'FT Fee (Franchise)'!A58:J207,3,FALSE),CONCATENATE(VLOOKUP(A53,'FT Fee (Franchise)'!A58:J207,3,FALSE)," - ",VLOOKUP('Fee Summary'!A53,'FT Fee (Franchise)'!$A$19:$J$168,4,FALSE))))</f>
        <v>0</v>
      </c>
      <c r="O223" s="301" t="str">
        <f>IF(AND('FT Fee (Franchise)'!I58="Yes"),VLOOKUP('Fee Summary'!A53,'FT Fee (Franchise)'!$A$19:$J$168,10,FALSE),"")</f>
        <v/>
      </c>
      <c r="P223" s="301" t="str">
        <f>IF(VLOOKUP(A53,'FT Fee (Franchise)'!A58:K207,3,FALSE)=0,"",VLOOKUP(A53,'FT Fee (Franchise)'!A58:K207,3,FALSE))</f>
        <v/>
      </c>
      <c r="AG223" s="301" t="str">
        <f t="shared" si="29"/>
        <v/>
      </c>
      <c r="AH223" s="457"/>
    </row>
    <row r="224" spans="11:34" ht="15.75" hidden="1" x14ac:dyDescent="0.25">
      <c r="K224" s="301" t="str">
        <f>IF(ISERROR(RANK(L224,$L$23:$L$473,1)+COUNTIF($L$23:L224,L224)-1)=TRUE,"",RANK(L224,$L$23:$L$473,1)+COUNTIF($L$23:L224,L224)-1)</f>
        <v/>
      </c>
      <c r="L224" s="301" t="str">
        <f t="shared" si="32"/>
        <v/>
      </c>
      <c r="M224" s="301" t="str">
        <f>IF(AND('FT Fee (Franchise)'!I59="Yes"),VLOOKUP('Fee Summary'!A54,'FT Fee (Franchise)'!$A$19:$J$168,2,FALSE),"")</f>
        <v/>
      </c>
      <c r="N224" s="301" t="b">
        <f>IF(AND('FT Fee (Franchise)'!I59="Yes"),IF(VLOOKUP('Fee Summary'!A54,'FT Fee (Franchise)'!$A$19:$J$168,4,FALSE)="",VLOOKUP(A54,'FT Fee (Franchise)'!A59:J208,3,FALSE),CONCATENATE(VLOOKUP(A54,'FT Fee (Franchise)'!A59:J208,3,FALSE)," - ",VLOOKUP('Fee Summary'!A54,'FT Fee (Franchise)'!$A$19:$J$168,4,FALSE))))</f>
        <v>0</v>
      </c>
      <c r="O224" s="301" t="str">
        <f>IF(AND('FT Fee (Franchise)'!I59="Yes"),VLOOKUP('Fee Summary'!A54,'FT Fee (Franchise)'!$A$19:$J$168,10,FALSE),"")</f>
        <v/>
      </c>
      <c r="P224" s="301" t="str">
        <f>IF(VLOOKUP(A54,'FT Fee (Franchise)'!A59:K208,3,FALSE)=0,"",VLOOKUP(A54,'FT Fee (Franchise)'!A59:K208,3,FALSE))</f>
        <v/>
      </c>
      <c r="AG224" s="301" t="str">
        <f t="shared" si="29"/>
        <v/>
      </c>
      <c r="AH224" s="457"/>
    </row>
    <row r="225" spans="11:34" ht="15.75" hidden="1" x14ac:dyDescent="0.25">
      <c r="K225" s="301" t="str">
        <f>IF(ISERROR(RANK(L225,$L$23:$L$473,1)+COUNTIF($L$23:L225,L225)-1)=TRUE,"",RANK(L225,$L$23:$L$473,1)+COUNTIF($L$23:L225,L225)-1)</f>
        <v/>
      </c>
      <c r="L225" s="301" t="str">
        <f t="shared" si="32"/>
        <v/>
      </c>
      <c r="M225" s="301" t="str">
        <f>IF(AND('FT Fee (Franchise)'!I60="Yes"),VLOOKUP('Fee Summary'!A55,'FT Fee (Franchise)'!$A$19:$J$168,2,FALSE),"")</f>
        <v/>
      </c>
      <c r="N225" s="301" t="b">
        <f>IF(AND('FT Fee (Franchise)'!I60="Yes"),IF(VLOOKUP('Fee Summary'!A55,'FT Fee (Franchise)'!$A$19:$J$168,4,FALSE)="",VLOOKUP(A55,'FT Fee (Franchise)'!A60:J209,3,FALSE),CONCATENATE(VLOOKUP(A55,'FT Fee (Franchise)'!A60:J209,3,FALSE)," - ",VLOOKUP('Fee Summary'!A55,'FT Fee (Franchise)'!$A$19:$J$168,4,FALSE))))</f>
        <v>0</v>
      </c>
      <c r="O225" s="301" t="str">
        <f>IF(AND('FT Fee (Franchise)'!I60="Yes"),VLOOKUP('Fee Summary'!A55,'FT Fee (Franchise)'!$A$19:$J$168,10,FALSE),"")</f>
        <v/>
      </c>
      <c r="P225" s="301" t="str">
        <f>IF(VLOOKUP(A55,'FT Fee (Franchise)'!A60:K209,3,FALSE)=0,"",VLOOKUP(A55,'FT Fee (Franchise)'!A60:K209,3,FALSE))</f>
        <v/>
      </c>
      <c r="AG225" s="301" t="str">
        <f t="shared" si="29"/>
        <v/>
      </c>
      <c r="AH225" s="457"/>
    </row>
    <row r="226" spans="11:34" ht="15.75" hidden="1" x14ac:dyDescent="0.25">
      <c r="K226" s="301" t="str">
        <f>IF(ISERROR(RANK(L226,$L$23:$L$473,1)+COUNTIF($L$23:L226,L226)-1)=TRUE,"",RANK(L226,$L$23:$L$473,1)+COUNTIF($L$23:L226,L226)-1)</f>
        <v/>
      </c>
      <c r="L226" s="301" t="str">
        <f t="shared" si="32"/>
        <v/>
      </c>
      <c r="M226" s="301" t="str">
        <f>IF(AND('FT Fee (Franchise)'!I61="Yes"),VLOOKUP('Fee Summary'!A56,'FT Fee (Franchise)'!$A$19:$J$168,2,FALSE),"")</f>
        <v/>
      </c>
      <c r="N226" s="301" t="b">
        <f>IF(AND('FT Fee (Franchise)'!I61="Yes"),IF(VLOOKUP('Fee Summary'!A56,'FT Fee (Franchise)'!$A$19:$J$168,4,FALSE)="",VLOOKUP(A56,'FT Fee (Franchise)'!A61:J210,3,FALSE),CONCATENATE(VLOOKUP(A56,'FT Fee (Franchise)'!A61:J210,3,FALSE)," - ",VLOOKUP('Fee Summary'!A56,'FT Fee (Franchise)'!$A$19:$J$168,4,FALSE))))</f>
        <v>0</v>
      </c>
      <c r="O226" s="301" t="str">
        <f>IF(AND('FT Fee (Franchise)'!I61="Yes"),VLOOKUP('Fee Summary'!A56,'FT Fee (Franchise)'!$A$19:$J$168,10,FALSE),"")</f>
        <v/>
      </c>
      <c r="P226" s="301" t="str">
        <f>IF(VLOOKUP(A56,'FT Fee (Franchise)'!A61:K210,3,FALSE)=0,"",VLOOKUP(A56,'FT Fee (Franchise)'!A61:K210,3,FALSE))</f>
        <v/>
      </c>
      <c r="AG226" s="301" t="str">
        <f t="shared" si="29"/>
        <v/>
      </c>
      <c r="AH226" s="457"/>
    </row>
    <row r="227" spans="11:34" ht="15.75" hidden="1" x14ac:dyDescent="0.25">
      <c r="K227" s="301" t="str">
        <f>IF(ISERROR(RANK(L227,$L$23:$L$473,1)+COUNTIF($L$23:L227,L227)-1)=TRUE,"",RANK(L227,$L$23:$L$473,1)+COUNTIF($L$23:L227,L227)-1)</f>
        <v/>
      </c>
      <c r="L227" s="301" t="str">
        <f t="shared" si="32"/>
        <v/>
      </c>
      <c r="M227" s="301" t="str">
        <f>IF(AND('FT Fee (Franchise)'!I62="Yes"),VLOOKUP('Fee Summary'!A57,'FT Fee (Franchise)'!$A$19:$J$168,2,FALSE),"")</f>
        <v/>
      </c>
      <c r="N227" s="301" t="b">
        <f>IF(AND('FT Fee (Franchise)'!I62="Yes"),IF(VLOOKUP('Fee Summary'!A57,'FT Fee (Franchise)'!$A$19:$J$168,4,FALSE)="",VLOOKUP(A57,'FT Fee (Franchise)'!A62:J211,3,FALSE),CONCATENATE(VLOOKUP(A57,'FT Fee (Franchise)'!A62:J211,3,FALSE)," - ",VLOOKUP('Fee Summary'!A57,'FT Fee (Franchise)'!$A$19:$J$168,4,FALSE))))</f>
        <v>0</v>
      </c>
      <c r="O227" s="301" t="str">
        <f>IF(AND('FT Fee (Franchise)'!I62="Yes"),VLOOKUP('Fee Summary'!A57,'FT Fee (Franchise)'!$A$19:$J$168,10,FALSE),"")</f>
        <v/>
      </c>
      <c r="P227" s="301" t="str">
        <f>IF(VLOOKUP(A57,'FT Fee (Franchise)'!A62:K211,3,FALSE)=0,"",VLOOKUP(A57,'FT Fee (Franchise)'!A62:K211,3,FALSE))</f>
        <v/>
      </c>
      <c r="AG227" s="301" t="str">
        <f t="shared" ref="AG227:AG271" si="33">IF(AH227="","",AG226+1)</f>
        <v/>
      </c>
      <c r="AH227" s="457"/>
    </row>
    <row r="228" spans="11:34" ht="15.75" hidden="1" x14ac:dyDescent="0.25">
      <c r="K228" s="301" t="str">
        <f>IF(ISERROR(RANK(L228,$L$23:$L$473,1)+COUNTIF($L$23:L228,L228)-1)=TRUE,"",RANK(L228,$L$23:$L$473,1)+COUNTIF($L$23:L228,L228)-1)</f>
        <v/>
      </c>
      <c r="L228" s="301" t="str">
        <f t="shared" si="32"/>
        <v/>
      </c>
      <c r="M228" s="301" t="str">
        <f>IF(AND('FT Fee (Franchise)'!I63="Yes"),VLOOKUP('Fee Summary'!A58,'FT Fee (Franchise)'!$A$19:$J$168,2,FALSE),"")</f>
        <v/>
      </c>
      <c r="N228" s="301" t="b">
        <f>IF(AND('FT Fee (Franchise)'!I63="Yes"),IF(VLOOKUP('Fee Summary'!A58,'FT Fee (Franchise)'!$A$19:$J$168,4,FALSE)="",VLOOKUP(A58,'FT Fee (Franchise)'!A63:J212,3,FALSE),CONCATENATE(VLOOKUP(A58,'FT Fee (Franchise)'!A63:J212,3,FALSE)," - ",VLOOKUP('Fee Summary'!A58,'FT Fee (Franchise)'!$A$19:$J$168,4,FALSE))))</f>
        <v>0</v>
      </c>
      <c r="O228" s="301" t="str">
        <f>IF(AND('FT Fee (Franchise)'!I63="Yes"),VLOOKUP('Fee Summary'!A58,'FT Fee (Franchise)'!$A$19:$J$168,10,FALSE),"")</f>
        <v/>
      </c>
      <c r="P228" s="301" t="str">
        <f>IF(VLOOKUP(A58,'FT Fee (Franchise)'!A63:K212,3,FALSE)=0,"",VLOOKUP(A58,'FT Fee (Franchise)'!A63:K212,3,FALSE))</f>
        <v/>
      </c>
      <c r="AG228" s="301" t="str">
        <f t="shared" si="33"/>
        <v/>
      </c>
      <c r="AH228" s="457"/>
    </row>
    <row r="229" spans="11:34" ht="15.75" hidden="1" x14ac:dyDescent="0.25">
      <c r="K229" s="301" t="str">
        <f>IF(ISERROR(RANK(L229,$L$23:$L$473,1)+COUNTIF($L$23:L229,L229)-1)=TRUE,"",RANK(L229,$L$23:$L$473,1)+COUNTIF($L$23:L229,L229)-1)</f>
        <v/>
      </c>
      <c r="L229" s="301" t="str">
        <f t="shared" si="32"/>
        <v/>
      </c>
      <c r="M229" s="301" t="str">
        <f>IF(AND('FT Fee (Franchise)'!I64="Yes"),VLOOKUP('Fee Summary'!A59,'FT Fee (Franchise)'!$A$19:$J$168,2,FALSE),"")</f>
        <v/>
      </c>
      <c r="N229" s="301" t="b">
        <f>IF(AND('FT Fee (Franchise)'!I64="Yes"),IF(VLOOKUP('Fee Summary'!A59,'FT Fee (Franchise)'!$A$19:$J$168,4,FALSE)="",VLOOKUP(A59,'FT Fee (Franchise)'!A64:J213,3,FALSE),CONCATENATE(VLOOKUP(A59,'FT Fee (Franchise)'!A64:J213,3,FALSE)," - ",VLOOKUP('Fee Summary'!A59,'FT Fee (Franchise)'!$A$19:$J$168,4,FALSE))))</f>
        <v>0</v>
      </c>
      <c r="O229" s="301" t="str">
        <f>IF(AND('FT Fee (Franchise)'!I64="Yes"),VLOOKUP('Fee Summary'!A59,'FT Fee (Franchise)'!$A$19:$J$168,10,FALSE),"")</f>
        <v/>
      </c>
      <c r="P229" s="301" t="str">
        <f>IF(VLOOKUP(A59,'FT Fee (Franchise)'!A64:K213,3,FALSE)=0,"",VLOOKUP(A59,'FT Fee (Franchise)'!A64:K213,3,FALSE))</f>
        <v/>
      </c>
      <c r="AG229" s="301" t="str">
        <f t="shared" si="33"/>
        <v/>
      </c>
      <c r="AH229" s="457"/>
    </row>
    <row r="230" spans="11:34" ht="15.75" hidden="1" x14ac:dyDescent="0.25">
      <c r="K230" s="301" t="str">
        <f>IF(ISERROR(RANK(L230,$L$23:$L$473,1)+COUNTIF($L$23:L230,L230)-1)=TRUE,"",RANK(L230,$L$23:$L$473,1)+COUNTIF($L$23:L230,L230)-1)</f>
        <v/>
      </c>
      <c r="L230" s="301" t="str">
        <f t="shared" si="32"/>
        <v/>
      </c>
      <c r="M230" s="301" t="str">
        <f>IF(AND('FT Fee (Franchise)'!I65="Yes"),VLOOKUP('Fee Summary'!A60,'FT Fee (Franchise)'!$A$19:$J$168,2,FALSE),"")</f>
        <v/>
      </c>
      <c r="N230" s="301" t="b">
        <f>IF(AND('FT Fee (Franchise)'!I65="Yes"),IF(VLOOKUP('Fee Summary'!A60,'FT Fee (Franchise)'!$A$19:$J$168,4,FALSE)="",VLOOKUP(A60,'FT Fee (Franchise)'!A65:J214,3,FALSE),CONCATENATE(VLOOKUP(A60,'FT Fee (Franchise)'!A65:J214,3,FALSE)," - ",VLOOKUP('Fee Summary'!A60,'FT Fee (Franchise)'!$A$19:$J$168,4,FALSE))))</f>
        <v>0</v>
      </c>
      <c r="O230" s="301" t="str">
        <f>IF(AND('FT Fee (Franchise)'!I65="Yes"),VLOOKUP('Fee Summary'!A60,'FT Fee (Franchise)'!$A$19:$J$168,10,FALSE),"")</f>
        <v/>
      </c>
      <c r="P230" s="301" t="str">
        <f>IF(VLOOKUP(A60,'FT Fee (Franchise)'!A65:K214,3,FALSE)=0,"",VLOOKUP(A60,'FT Fee (Franchise)'!A65:K214,3,FALSE))</f>
        <v/>
      </c>
      <c r="AG230" s="301" t="str">
        <f t="shared" si="33"/>
        <v/>
      </c>
      <c r="AH230" s="457"/>
    </row>
    <row r="231" spans="11:34" ht="15.75" hidden="1" x14ac:dyDescent="0.25">
      <c r="K231" s="301" t="str">
        <f>IF(ISERROR(RANK(L231,$L$23:$L$473,1)+COUNTIF($L$23:L231,L231)-1)=TRUE,"",RANK(L231,$L$23:$L$473,1)+COUNTIF($L$23:L231,L231)-1)</f>
        <v/>
      </c>
      <c r="L231" s="301" t="str">
        <f t="shared" si="32"/>
        <v/>
      </c>
      <c r="M231" s="301" t="str">
        <f>IF(AND('FT Fee (Franchise)'!I66="Yes"),VLOOKUP('Fee Summary'!A61,'FT Fee (Franchise)'!$A$19:$J$168,2,FALSE),"")</f>
        <v/>
      </c>
      <c r="N231" s="301" t="b">
        <f>IF(AND('FT Fee (Franchise)'!I66="Yes"),IF(VLOOKUP('Fee Summary'!A61,'FT Fee (Franchise)'!$A$19:$J$168,4,FALSE)="",VLOOKUP(A61,'FT Fee (Franchise)'!A66:J215,3,FALSE),CONCATENATE(VLOOKUP(A61,'FT Fee (Franchise)'!A66:J215,3,FALSE)," - ",VLOOKUP('Fee Summary'!A61,'FT Fee (Franchise)'!$A$19:$J$168,4,FALSE))))</f>
        <v>0</v>
      </c>
      <c r="O231" s="301" t="str">
        <f>IF(AND('FT Fee (Franchise)'!I66="Yes"),VLOOKUP('Fee Summary'!A61,'FT Fee (Franchise)'!$A$19:$J$168,10,FALSE),"")</f>
        <v/>
      </c>
      <c r="P231" s="301" t="str">
        <f>IF(VLOOKUP(A61,'FT Fee (Franchise)'!A66:K215,3,FALSE)=0,"",VLOOKUP(A61,'FT Fee (Franchise)'!A66:K215,3,FALSE))</f>
        <v/>
      </c>
      <c r="AG231" s="301" t="str">
        <f t="shared" si="33"/>
        <v/>
      </c>
      <c r="AH231" s="457"/>
    </row>
    <row r="232" spans="11:34" ht="15.75" hidden="1" x14ac:dyDescent="0.25">
      <c r="K232" s="301" t="str">
        <f>IF(ISERROR(RANK(L232,$L$23:$L$473,1)+COUNTIF($L$23:L232,L232)-1)=TRUE,"",RANK(L232,$L$23:$L$473,1)+COUNTIF($L$23:L232,L232)-1)</f>
        <v/>
      </c>
      <c r="L232" s="301" t="str">
        <f t="shared" si="32"/>
        <v/>
      </c>
      <c r="M232" s="301" t="str">
        <f>IF(AND('FT Fee (Franchise)'!I67="Yes"),VLOOKUP('Fee Summary'!A62,'FT Fee (Franchise)'!$A$19:$J$168,2,FALSE),"")</f>
        <v/>
      </c>
      <c r="N232" s="301" t="b">
        <f>IF(AND('FT Fee (Franchise)'!I67="Yes"),IF(VLOOKUP('Fee Summary'!A62,'FT Fee (Franchise)'!$A$19:$J$168,4,FALSE)="",VLOOKUP(A62,'FT Fee (Franchise)'!A67:J216,3,FALSE),CONCATENATE(VLOOKUP(A62,'FT Fee (Franchise)'!A67:J216,3,FALSE)," - ",VLOOKUP('Fee Summary'!A62,'FT Fee (Franchise)'!$A$19:$J$168,4,FALSE))))</f>
        <v>0</v>
      </c>
      <c r="O232" s="301" t="str">
        <f>IF(AND('FT Fee (Franchise)'!I67="Yes"),VLOOKUP('Fee Summary'!A62,'FT Fee (Franchise)'!$A$19:$J$168,10,FALSE),"")</f>
        <v/>
      </c>
      <c r="P232" s="301" t="str">
        <f>IF(VLOOKUP(A62,'FT Fee (Franchise)'!A67:K216,3,FALSE)=0,"",VLOOKUP(A62,'FT Fee (Franchise)'!A67:K216,3,FALSE))</f>
        <v/>
      </c>
      <c r="AG232" s="301" t="str">
        <f t="shared" si="33"/>
        <v/>
      </c>
      <c r="AH232" s="457"/>
    </row>
    <row r="233" spans="11:34" ht="15.75" hidden="1" x14ac:dyDescent="0.25">
      <c r="K233" s="301" t="str">
        <f>IF(ISERROR(RANK(L233,$L$23:$L$473,1)+COUNTIF($L$23:L233,L233)-1)=TRUE,"",RANK(L233,$L$23:$L$473,1)+COUNTIF($L$23:L233,L233)-1)</f>
        <v/>
      </c>
      <c r="L233" s="301" t="str">
        <f t="shared" si="32"/>
        <v/>
      </c>
      <c r="M233" s="301" t="str">
        <f>IF(AND('FT Fee (Franchise)'!I68="Yes"),VLOOKUP('Fee Summary'!A63,'FT Fee (Franchise)'!$A$19:$J$168,2,FALSE),"")</f>
        <v/>
      </c>
      <c r="N233" s="301" t="b">
        <f>IF(AND('FT Fee (Franchise)'!I68="Yes"),IF(VLOOKUP('Fee Summary'!A63,'FT Fee (Franchise)'!$A$19:$J$168,4,FALSE)="",VLOOKUP(A63,'FT Fee (Franchise)'!A68:J217,3,FALSE),CONCATENATE(VLOOKUP(A63,'FT Fee (Franchise)'!A68:J217,3,FALSE)," - ",VLOOKUP('Fee Summary'!A63,'FT Fee (Franchise)'!$A$19:$J$168,4,FALSE))))</f>
        <v>0</v>
      </c>
      <c r="O233" s="301" t="str">
        <f>IF(AND('FT Fee (Franchise)'!I68="Yes"),VLOOKUP('Fee Summary'!A63,'FT Fee (Franchise)'!$A$19:$J$168,10,FALSE),"")</f>
        <v/>
      </c>
      <c r="P233" s="301" t="str">
        <f>IF(VLOOKUP(A63,'FT Fee (Franchise)'!A68:K217,3,FALSE)=0,"",VLOOKUP(A63,'FT Fee (Franchise)'!A68:K217,3,FALSE))</f>
        <v/>
      </c>
      <c r="AG233" s="301" t="str">
        <f t="shared" si="33"/>
        <v/>
      </c>
      <c r="AH233" s="457"/>
    </row>
    <row r="234" spans="11:34" ht="15.75" hidden="1" x14ac:dyDescent="0.25">
      <c r="K234" s="301" t="str">
        <f>IF(ISERROR(RANK(L234,$L$23:$L$473,1)+COUNTIF($L$23:L234,L234)-1)=TRUE,"",RANK(L234,$L$23:$L$473,1)+COUNTIF($L$23:L234,L234)-1)</f>
        <v/>
      </c>
      <c r="L234" s="301" t="str">
        <f t="shared" si="32"/>
        <v/>
      </c>
      <c r="M234" s="301" t="str">
        <f>IF(AND('FT Fee (Franchise)'!I69="Yes"),VLOOKUP('Fee Summary'!A64,'FT Fee (Franchise)'!$A$19:$J$168,2,FALSE),"")</f>
        <v/>
      </c>
      <c r="N234" s="301" t="b">
        <f>IF(AND('FT Fee (Franchise)'!I69="Yes"),IF(VLOOKUP('Fee Summary'!A64,'FT Fee (Franchise)'!$A$19:$J$168,4,FALSE)="",VLOOKUP(A64,'FT Fee (Franchise)'!A69:J218,3,FALSE),CONCATENATE(VLOOKUP(A64,'FT Fee (Franchise)'!A69:J218,3,FALSE)," - ",VLOOKUP('Fee Summary'!A64,'FT Fee (Franchise)'!$A$19:$J$168,4,FALSE))))</f>
        <v>0</v>
      </c>
      <c r="O234" s="301" t="str">
        <f>IF(AND('FT Fee (Franchise)'!I69="Yes"),VLOOKUP('Fee Summary'!A64,'FT Fee (Franchise)'!$A$19:$J$168,10,FALSE),"")</f>
        <v/>
      </c>
      <c r="P234" s="301" t="str">
        <f>IF(VLOOKUP(A64,'FT Fee (Franchise)'!A69:K218,3,FALSE)=0,"",VLOOKUP(A64,'FT Fee (Franchise)'!A69:K218,3,FALSE))</f>
        <v/>
      </c>
      <c r="AG234" s="301" t="str">
        <f t="shared" si="33"/>
        <v/>
      </c>
      <c r="AH234" s="457"/>
    </row>
    <row r="235" spans="11:34" ht="15.75" hidden="1" x14ac:dyDescent="0.25">
      <c r="K235" s="301" t="str">
        <f>IF(ISERROR(RANK(L235,$L$23:$L$473,1)+COUNTIF($L$23:L235,L235)-1)=TRUE,"",RANK(L235,$L$23:$L$473,1)+COUNTIF($L$23:L235,L235)-1)</f>
        <v/>
      </c>
      <c r="L235" s="301" t="str">
        <f t="shared" si="32"/>
        <v/>
      </c>
      <c r="M235" s="301" t="str">
        <f>IF(AND('FT Fee (Franchise)'!I70="Yes"),VLOOKUP('Fee Summary'!A65,'FT Fee (Franchise)'!$A$19:$J$168,2,FALSE),"")</f>
        <v/>
      </c>
      <c r="N235" s="301" t="b">
        <f>IF(AND('FT Fee (Franchise)'!I70="Yes"),IF(VLOOKUP('Fee Summary'!A65,'FT Fee (Franchise)'!$A$19:$J$168,4,FALSE)="",VLOOKUP(A65,'FT Fee (Franchise)'!A70:J219,3,FALSE),CONCATENATE(VLOOKUP(A65,'FT Fee (Franchise)'!A70:J219,3,FALSE)," - ",VLOOKUP('Fee Summary'!A65,'FT Fee (Franchise)'!$A$19:$J$168,4,FALSE))))</f>
        <v>0</v>
      </c>
      <c r="O235" s="301" t="str">
        <f>IF(AND('FT Fee (Franchise)'!I70="Yes"),VLOOKUP('Fee Summary'!A65,'FT Fee (Franchise)'!$A$19:$J$168,10,FALSE),"")</f>
        <v/>
      </c>
      <c r="P235" s="301" t="str">
        <f>IF(VLOOKUP(A65,'FT Fee (Franchise)'!A70:K219,3,FALSE)=0,"",VLOOKUP(A65,'FT Fee (Franchise)'!A70:K219,3,FALSE))</f>
        <v/>
      </c>
      <c r="AG235" s="301" t="str">
        <f t="shared" si="33"/>
        <v/>
      </c>
      <c r="AH235" s="457"/>
    </row>
    <row r="236" spans="11:34" ht="15.75" hidden="1" x14ac:dyDescent="0.25">
      <c r="K236" s="301" t="str">
        <f>IF(ISERROR(RANK(L236,$L$23:$L$473,1)+COUNTIF($L$23:L236,L236)-1)=TRUE,"",RANK(L236,$L$23:$L$473,1)+COUNTIF($L$23:L236,L236)-1)</f>
        <v/>
      </c>
      <c r="L236" s="301" t="str">
        <f t="shared" si="32"/>
        <v/>
      </c>
      <c r="M236" s="301" t="str">
        <f>IF(AND('FT Fee (Franchise)'!I71="Yes"),VLOOKUP('Fee Summary'!A66,'FT Fee (Franchise)'!$A$19:$J$168,2,FALSE),"")</f>
        <v/>
      </c>
      <c r="N236" s="301" t="b">
        <f>IF(AND('FT Fee (Franchise)'!I71="Yes"),IF(VLOOKUP('Fee Summary'!A66,'FT Fee (Franchise)'!$A$19:$J$168,4,FALSE)="",VLOOKUP(A66,'FT Fee (Franchise)'!A71:J220,3,FALSE),CONCATENATE(VLOOKUP(A66,'FT Fee (Franchise)'!A71:J220,3,FALSE)," - ",VLOOKUP('Fee Summary'!A66,'FT Fee (Franchise)'!$A$19:$J$168,4,FALSE))))</f>
        <v>0</v>
      </c>
      <c r="O236" s="301" t="str">
        <f>IF(AND('FT Fee (Franchise)'!I71="Yes"),VLOOKUP('Fee Summary'!A66,'FT Fee (Franchise)'!$A$19:$J$168,10,FALSE),"")</f>
        <v/>
      </c>
      <c r="P236" s="301" t="str">
        <f>IF(VLOOKUP(A66,'FT Fee (Franchise)'!A71:K220,3,FALSE)=0,"",VLOOKUP(A66,'FT Fee (Franchise)'!A71:K220,3,FALSE))</f>
        <v/>
      </c>
      <c r="AG236" s="301" t="str">
        <f t="shared" si="33"/>
        <v/>
      </c>
      <c r="AH236" s="457"/>
    </row>
    <row r="237" spans="11:34" ht="15.75" hidden="1" x14ac:dyDescent="0.25">
      <c r="K237" s="301" t="str">
        <f>IF(ISERROR(RANK(L237,$L$23:$L$473,1)+COUNTIF($L$23:L237,L237)-1)=TRUE,"",RANK(L237,$L$23:$L$473,1)+COUNTIF($L$23:L237,L237)-1)</f>
        <v/>
      </c>
      <c r="L237" s="301" t="str">
        <f t="shared" si="32"/>
        <v/>
      </c>
      <c r="M237" s="301" t="str">
        <f>IF(AND('FT Fee (Franchise)'!I72="Yes"),VLOOKUP('Fee Summary'!A67,'FT Fee (Franchise)'!$A$19:$J$168,2,FALSE),"")</f>
        <v/>
      </c>
      <c r="N237" s="301" t="b">
        <f>IF(AND('FT Fee (Franchise)'!I72="Yes"),IF(VLOOKUP('Fee Summary'!A67,'FT Fee (Franchise)'!$A$19:$J$168,4,FALSE)="",VLOOKUP(A67,'FT Fee (Franchise)'!A72:J221,3,FALSE),CONCATENATE(VLOOKUP(A67,'FT Fee (Franchise)'!A72:J221,3,FALSE)," - ",VLOOKUP('Fee Summary'!A67,'FT Fee (Franchise)'!$A$19:$J$168,4,FALSE))))</f>
        <v>0</v>
      </c>
      <c r="O237" s="301" t="str">
        <f>IF(AND('FT Fee (Franchise)'!I72="Yes"),VLOOKUP('Fee Summary'!A67,'FT Fee (Franchise)'!$A$19:$J$168,10,FALSE),"")</f>
        <v/>
      </c>
      <c r="P237" s="301" t="str">
        <f>IF(VLOOKUP(A67,'FT Fee (Franchise)'!A72:K221,3,FALSE)=0,"",VLOOKUP(A67,'FT Fee (Franchise)'!A72:K221,3,FALSE))</f>
        <v/>
      </c>
      <c r="AG237" s="301" t="str">
        <f t="shared" si="33"/>
        <v/>
      </c>
      <c r="AH237" s="457"/>
    </row>
    <row r="238" spans="11:34" ht="15.75" hidden="1" x14ac:dyDescent="0.25">
      <c r="K238" s="301" t="str">
        <f>IF(ISERROR(RANK(L238,$L$23:$L$473,1)+COUNTIF($L$23:L238,L238)-1)=TRUE,"",RANK(L238,$L$23:$L$473,1)+COUNTIF($L$23:L238,L238)-1)</f>
        <v/>
      </c>
      <c r="L238" s="301" t="str">
        <f t="shared" si="32"/>
        <v/>
      </c>
      <c r="M238" s="301" t="str">
        <f>IF(AND('FT Fee (Franchise)'!I73="Yes"),VLOOKUP('Fee Summary'!A68,'FT Fee (Franchise)'!$A$19:$J$168,2,FALSE),"")</f>
        <v/>
      </c>
      <c r="N238" s="301" t="b">
        <f>IF(AND('FT Fee (Franchise)'!I73="Yes"),IF(VLOOKUP('Fee Summary'!A68,'FT Fee (Franchise)'!$A$19:$J$168,4,FALSE)="",VLOOKUP(A68,'FT Fee (Franchise)'!A73:J222,3,FALSE),CONCATENATE(VLOOKUP(A68,'FT Fee (Franchise)'!A73:J222,3,FALSE)," - ",VLOOKUP('Fee Summary'!A68,'FT Fee (Franchise)'!$A$19:$J$168,4,FALSE))))</f>
        <v>0</v>
      </c>
      <c r="O238" s="301" t="str">
        <f>IF(AND('FT Fee (Franchise)'!I73="Yes"),VLOOKUP('Fee Summary'!A68,'FT Fee (Franchise)'!$A$19:$J$168,10,FALSE),"")</f>
        <v/>
      </c>
      <c r="P238" s="301" t="str">
        <f>IF(VLOOKUP(A68,'FT Fee (Franchise)'!A73:K222,3,FALSE)=0,"",VLOOKUP(A68,'FT Fee (Franchise)'!A73:K222,3,FALSE))</f>
        <v/>
      </c>
      <c r="AG238" s="301" t="str">
        <f t="shared" si="33"/>
        <v/>
      </c>
      <c r="AH238" s="457"/>
    </row>
    <row r="239" spans="11:34" ht="15.75" hidden="1" x14ac:dyDescent="0.25">
      <c r="K239" s="301" t="str">
        <f>IF(ISERROR(RANK(L239,$L$23:$L$473,1)+COUNTIF($L$23:L239,L239)-1)=TRUE,"",RANK(L239,$L$23:$L$473,1)+COUNTIF($L$23:L239,L239)-1)</f>
        <v/>
      </c>
      <c r="L239" s="301" t="str">
        <f t="shared" si="32"/>
        <v/>
      </c>
      <c r="M239" s="301" t="str">
        <f>IF(AND('FT Fee (Franchise)'!I74="Yes"),VLOOKUP('Fee Summary'!A69,'FT Fee (Franchise)'!$A$19:$J$168,2,FALSE),"")</f>
        <v/>
      </c>
      <c r="N239" s="301" t="b">
        <f>IF(AND('FT Fee (Franchise)'!I74="Yes"),IF(VLOOKUP('Fee Summary'!A69,'FT Fee (Franchise)'!$A$19:$J$168,4,FALSE)="",VLOOKUP(A69,'FT Fee (Franchise)'!A74:J223,3,FALSE),CONCATENATE(VLOOKUP(A69,'FT Fee (Franchise)'!A74:J223,3,FALSE)," - ",VLOOKUP('Fee Summary'!A69,'FT Fee (Franchise)'!$A$19:$J$168,4,FALSE))))</f>
        <v>0</v>
      </c>
      <c r="O239" s="301" t="str">
        <f>IF(AND('FT Fee (Franchise)'!I74="Yes"),VLOOKUP('Fee Summary'!A69,'FT Fee (Franchise)'!$A$19:$J$168,10,FALSE),"")</f>
        <v/>
      </c>
      <c r="P239" s="301" t="str">
        <f>IF(VLOOKUP(A69,'FT Fee (Franchise)'!A74:K223,3,FALSE)=0,"",VLOOKUP(A69,'FT Fee (Franchise)'!A74:K223,3,FALSE))</f>
        <v/>
      </c>
      <c r="AG239" s="301" t="str">
        <f t="shared" si="33"/>
        <v/>
      </c>
      <c r="AH239" s="457"/>
    </row>
    <row r="240" spans="11:34" ht="15.75" hidden="1" x14ac:dyDescent="0.25">
      <c r="K240" s="301" t="str">
        <f>IF(ISERROR(RANK(L240,$L$23:$L$473,1)+COUNTIF($L$23:L240,L240)-1)=TRUE,"",RANK(L240,$L$23:$L$473,1)+COUNTIF($L$23:L240,L240)-1)</f>
        <v/>
      </c>
      <c r="L240" s="301" t="str">
        <f t="shared" si="32"/>
        <v/>
      </c>
      <c r="M240" s="301" t="str">
        <f>IF(AND('FT Fee (Franchise)'!I75="Yes"),VLOOKUP('Fee Summary'!A70,'FT Fee (Franchise)'!$A$19:$J$168,2,FALSE),"")</f>
        <v/>
      </c>
      <c r="N240" s="301" t="b">
        <f>IF(AND('FT Fee (Franchise)'!I75="Yes"),IF(VLOOKUP('Fee Summary'!A70,'FT Fee (Franchise)'!$A$19:$J$168,4,FALSE)="",VLOOKUP(A70,'FT Fee (Franchise)'!A75:J224,3,FALSE),CONCATENATE(VLOOKUP(A70,'FT Fee (Franchise)'!A75:J224,3,FALSE)," - ",VLOOKUP('Fee Summary'!A70,'FT Fee (Franchise)'!$A$19:$J$168,4,FALSE))))</f>
        <v>0</v>
      </c>
      <c r="O240" s="301" t="str">
        <f>IF(AND('FT Fee (Franchise)'!I75="Yes"),VLOOKUP('Fee Summary'!A70,'FT Fee (Franchise)'!$A$19:$J$168,10,FALSE),"")</f>
        <v/>
      </c>
      <c r="P240" s="301" t="str">
        <f>IF(VLOOKUP(A70,'FT Fee (Franchise)'!A75:K224,3,FALSE)=0,"",VLOOKUP(A70,'FT Fee (Franchise)'!A75:K224,3,FALSE))</f>
        <v/>
      </c>
      <c r="AG240" s="301" t="str">
        <f t="shared" si="33"/>
        <v/>
      </c>
      <c r="AH240" s="457"/>
    </row>
    <row r="241" spans="11:34" ht="15.75" hidden="1" x14ac:dyDescent="0.25">
      <c r="K241" s="301" t="str">
        <f>IF(ISERROR(RANK(L241,$L$23:$L$473,1)+COUNTIF($L$23:L241,L241)-1)=TRUE,"",RANK(L241,$L$23:$L$473,1)+COUNTIF($L$23:L241,L241)-1)</f>
        <v/>
      </c>
      <c r="L241" s="301" t="str">
        <f t="shared" si="32"/>
        <v/>
      </c>
      <c r="M241" s="301" t="str">
        <f>IF(AND('FT Fee (Franchise)'!I76="Yes"),VLOOKUP('Fee Summary'!A71,'FT Fee (Franchise)'!$A$19:$J$168,2,FALSE),"")</f>
        <v/>
      </c>
      <c r="N241" s="301" t="b">
        <f>IF(AND('FT Fee (Franchise)'!I76="Yes"),IF(VLOOKUP('Fee Summary'!A71,'FT Fee (Franchise)'!$A$19:$J$168,4,FALSE)="",VLOOKUP(A71,'FT Fee (Franchise)'!A76:J225,3,FALSE),CONCATENATE(VLOOKUP(A71,'FT Fee (Franchise)'!A76:J225,3,FALSE)," - ",VLOOKUP('Fee Summary'!A71,'FT Fee (Franchise)'!$A$19:$J$168,4,FALSE))))</f>
        <v>0</v>
      </c>
      <c r="O241" s="301" t="str">
        <f>IF(AND('FT Fee (Franchise)'!I76="Yes"),VLOOKUP('Fee Summary'!A71,'FT Fee (Franchise)'!$A$19:$J$168,10,FALSE),"")</f>
        <v/>
      </c>
      <c r="P241" s="301" t="str">
        <f>IF(VLOOKUP(A71,'FT Fee (Franchise)'!A76:K225,3,FALSE)=0,"",VLOOKUP(A71,'FT Fee (Franchise)'!A76:K225,3,FALSE))</f>
        <v/>
      </c>
      <c r="AG241" s="301" t="str">
        <f t="shared" si="33"/>
        <v/>
      </c>
      <c r="AH241" s="457"/>
    </row>
    <row r="242" spans="11:34" ht="15.75" hidden="1" x14ac:dyDescent="0.25">
      <c r="K242" s="301" t="str">
        <f>IF(ISERROR(RANK(L242,$L$23:$L$473,1)+COUNTIF($L$23:L242,L242)-1)=TRUE,"",RANK(L242,$L$23:$L$473,1)+COUNTIF($L$23:L242,L242)-1)</f>
        <v/>
      </c>
      <c r="L242" s="301" t="str">
        <f t="shared" si="32"/>
        <v/>
      </c>
      <c r="M242" s="301" t="str">
        <f>IF(AND('FT Fee (Franchise)'!I77="Yes"),VLOOKUP('Fee Summary'!A72,'FT Fee (Franchise)'!$A$19:$J$168,2,FALSE),"")</f>
        <v/>
      </c>
      <c r="N242" s="301" t="b">
        <f>IF(AND('FT Fee (Franchise)'!I77="Yes"),IF(VLOOKUP('Fee Summary'!A72,'FT Fee (Franchise)'!$A$19:$J$168,4,FALSE)="",VLOOKUP(A72,'FT Fee (Franchise)'!A77:J226,3,FALSE),CONCATENATE(VLOOKUP(A72,'FT Fee (Franchise)'!A77:J226,3,FALSE)," - ",VLOOKUP('Fee Summary'!A72,'FT Fee (Franchise)'!$A$19:$J$168,4,FALSE))))</f>
        <v>0</v>
      </c>
      <c r="O242" s="301" t="str">
        <f>IF(AND('FT Fee (Franchise)'!I77="Yes"),VLOOKUP('Fee Summary'!A72,'FT Fee (Franchise)'!$A$19:$J$168,10,FALSE),"")</f>
        <v/>
      </c>
      <c r="P242" s="301" t="str">
        <f>IF(VLOOKUP(A72,'FT Fee (Franchise)'!A77:K226,3,FALSE)=0,"",VLOOKUP(A72,'FT Fee (Franchise)'!A77:K226,3,FALSE))</f>
        <v/>
      </c>
      <c r="AG242" s="301" t="str">
        <f t="shared" si="33"/>
        <v/>
      </c>
      <c r="AH242" s="457"/>
    </row>
    <row r="243" spans="11:34" ht="15.75" hidden="1" x14ac:dyDescent="0.25">
      <c r="K243" s="301" t="str">
        <f>IF(ISERROR(RANK(L243,$L$23:$L$473,1)+COUNTIF($L$23:L243,L243)-1)=TRUE,"",RANK(L243,$L$23:$L$473,1)+COUNTIF($L$23:L243,L243)-1)</f>
        <v/>
      </c>
      <c r="L243" s="301" t="str">
        <f t="shared" si="32"/>
        <v/>
      </c>
      <c r="M243" s="301" t="str">
        <f>IF(AND('FT Fee (Franchise)'!I78="Yes"),VLOOKUP('Fee Summary'!A73,'FT Fee (Franchise)'!$A$19:$J$168,2,FALSE),"")</f>
        <v/>
      </c>
      <c r="N243" s="301" t="b">
        <f>IF(AND('FT Fee (Franchise)'!I78="Yes"),IF(VLOOKUP('Fee Summary'!A73,'FT Fee (Franchise)'!$A$19:$J$168,4,FALSE)="",VLOOKUP(A73,'FT Fee (Franchise)'!A78:J227,3,FALSE),CONCATENATE(VLOOKUP(A73,'FT Fee (Franchise)'!A78:J227,3,FALSE)," - ",VLOOKUP('Fee Summary'!A73,'FT Fee (Franchise)'!$A$19:$J$168,4,FALSE))))</f>
        <v>0</v>
      </c>
      <c r="O243" s="301" t="str">
        <f>IF(AND('FT Fee (Franchise)'!I78="Yes"),VLOOKUP('Fee Summary'!A73,'FT Fee (Franchise)'!$A$19:$J$168,10,FALSE),"")</f>
        <v/>
      </c>
      <c r="P243" s="301" t="str">
        <f>IF(VLOOKUP(A73,'FT Fee (Franchise)'!A78:K227,3,FALSE)=0,"",VLOOKUP(A73,'FT Fee (Franchise)'!A78:K227,3,FALSE))</f>
        <v/>
      </c>
      <c r="AG243" s="301" t="str">
        <f t="shared" si="33"/>
        <v/>
      </c>
      <c r="AH243" s="457"/>
    </row>
    <row r="244" spans="11:34" ht="15.75" hidden="1" x14ac:dyDescent="0.25">
      <c r="K244" s="301" t="str">
        <f>IF(ISERROR(RANK(L244,$L$23:$L$473,1)+COUNTIF($L$23:L244,L244)-1)=TRUE,"",RANK(L244,$L$23:$L$473,1)+COUNTIF($L$23:L244,L244)-1)</f>
        <v/>
      </c>
      <c r="L244" s="301" t="str">
        <f t="shared" si="32"/>
        <v/>
      </c>
      <c r="M244" s="301" t="str">
        <f>IF(AND('FT Fee (Franchise)'!I79="Yes"),VLOOKUP('Fee Summary'!A74,'FT Fee (Franchise)'!$A$19:$J$168,2,FALSE),"")</f>
        <v/>
      </c>
      <c r="N244" s="301" t="b">
        <f>IF(AND('FT Fee (Franchise)'!I79="Yes"),IF(VLOOKUP('Fee Summary'!A74,'FT Fee (Franchise)'!$A$19:$J$168,4,FALSE)="",VLOOKUP(A74,'FT Fee (Franchise)'!A79:J228,3,FALSE),CONCATENATE(VLOOKUP(A74,'FT Fee (Franchise)'!A79:J228,3,FALSE)," - ",VLOOKUP('Fee Summary'!A74,'FT Fee (Franchise)'!$A$19:$J$168,4,FALSE))))</f>
        <v>0</v>
      </c>
      <c r="O244" s="301" t="str">
        <f>IF(AND('FT Fee (Franchise)'!I79="Yes"),VLOOKUP('Fee Summary'!A74,'FT Fee (Franchise)'!$A$19:$J$168,10,FALSE),"")</f>
        <v/>
      </c>
      <c r="P244" s="301" t="str">
        <f>IF(VLOOKUP(A74,'FT Fee (Franchise)'!A79:K228,3,FALSE)=0,"",VLOOKUP(A74,'FT Fee (Franchise)'!A79:K228,3,FALSE))</f>
        <v/>
      </c>
      <c r="AG244" s="301" t="str">
        <f t="shared" si="33"/>
        <v/>
      </c>
      <c r="AH244" s="457"/>
    </row>
    <row r="245" spans="11:34" ht="15.75" hidden="1" x14ac:dyDescent="0.25">
      <c r="K245" s="301" t="str">
        <f>IF(ISERROR(RANK(L245,$L$23:$L$473,1)+COUNTIF($L$23:L245,L245)-1)=TRUE,"",RANK(L245,$L$23:$L$473,1)+COUNTIF($L$23:L245,L245)-1)</f>
        <v/>
      </c>
      <c r="L245" s="301" t="str">
        <f t="shared" si="32"/>
        <v/>
      </c>
      <c r="M245" s="301" t="str">
        <f>IF(AND('FT Fee (Franchise)'!I80="Yes"),VLOOKUP('Fee Summary'!A75,'FT Fee (Franchise)'!$A$19:$J$168,2,FALSE),"")</f>
        <v/>
      </c>
      <c r="N245" s="301" t="b">
        <f>IF(AND('FT Fee (Franchise)'!I80="Yes"),IF(VLOOKUP('Fee Summary'!A75,'FT Fee (Franchise)'!$A$19:$J$168,4,FALSE)="",VLOOKUP(A75,'FT Fee (Franchise)'!A80:J229,3,FALSE),CONCATENATE(VLOOKUP(A75,'FT Fee (Franchise)'!A80:J229,3,FALSE)," - ",VLOOKUP('Fee Summary'!A75,'FT Fee (Franchise)'!$A$19:$J$168,4,FALSE))))</f>
        <v>0</v>
      </c>
      <c r="O245" s="301" t="str">
        <f>IF(AND('FT Fee (Franchise)'!I80="Yes"),VLOOKUP('Fee Summary'!A75,'FT Fee (Franchise)'!$A$19:$J$168,10,FALSE),"")</f>
        <v/>
      </c>
      <c r="P245" s="301" t="str">
        <f>IF(VLOOKUP(A75,'FT Fee (Franchise)'!A80:K229,3,FALSE)=0,"",VLOOKUP(A75,'FT Fee (Franchise)'!A80:K229,3,FALSE))</f>
        <v/>
      </c>
      <c r="AG245" s="301" t="str">
        <f t="shared" si="33"/>
        <v/>
      </c>
      <c r="AH245" s="457"/>
    </row>
    <row r="246" spans="11:34" ht="15.75" hidden="1" x14ac:dyDescent="0.25">
      <c r="K246" s="301" t="str">
        <f>IF(ISERROR(RANK(L246,$L$23:$L$473,1)+COUNTIF($L$23:L246,L246)-1)=TRUE,"",RANK(L246,$L$23:$L$473,1)+COUNTIF($L$23:L246,L246)-1)</f>
        <v/>
      </c>
      <c r="L246" s="301" t="str">
        <f t="shared" si="32"/>
        <v/>
      </c>
      <c r="M246" s="301" t="str">
        <f>IF(AND('FT Fee (Franchise)'!I81="Yes"),VLOOKUP('Fee Summary'!A76,'FT Fee (Franchise)'!$A$19:$J$168,2,FALSE),"")</f>
        <v/>
      </c>
      <c r="N246" s="301" t="b">
        <f>IF(AND('FT Fee (Franchise)'!I81="Yes"),IF(VLOOKUP('Fee Summary'!A76,'FT Fee (Franchise)'!$A$19:$J$168,4,FALSE)="",VLOOKUP(A76,'FT Fee (Franchise)'!A81:J230,3,FALSE),CONCATENATE(VLOOKUP(A76,'FT Fee (Franchise)'!A81:J230,3,FALSE)," - ",VLOOKUP('Fee Summary'!A76,'FT Fee (Franchise)'!$A$19:$J$168,4,FALSE))))</f>
        <v>0</v>
      </c>
      <c r="O246" s="301" t="str">
        <f>IF(AND('FT Fee (Franchise)'!I81="Yes"),VLOOKUP('Fee Summary'!A76,'FT Fee (Franchise)'!$A$19:$J$168,10,FALSE),"")</f>
        <v/>
      </c>
      <c r="P246" s="301" t="str">
        <f>IF(VLOOKUP(A76,'FT Fee (Franchise)'!A81:K230,3,FALSE)=0,"",VLOOKUP(A76,'FT Fee (Franchise)'!A81:K230,3,FALSE))</f>
        <v/>
      </c>
      <c r="AG246" s="301" t="str">
        <f t="shared" si="33"/>
        <v/>
      </c>
      <c r="AH246" s="457"/>
    </row>
    <row r="247" spans="11:34" ht="15.75" hidden="1" x14ac:dyDescent="0.25">
      <c r="K247" s="301" t="str">
        <f>IF(ISERROR(RANK(L247,$L$23:$L$473,1)+COUNTIF($L$23:L247,L247)-1)=TRUE,"",RANK(L247,$L$23:$L$473,1)+COUNTIF($L$23:L247,L247)-1)</f>
        <v/>
      </c>
      <c r="L247" s="301" t="str">
        <f t="shared" si="32"/>
        <v/>
      </c>
      <c r="M247" s="301" t="str">
        <f>IF(AND('FT Fee (Franchise)'!I82="Yes"),VLOOKUP('Fee Summary'!A77,'FT Fee (Franchise)'!$A$19:$J$168,2,FALSE),"")</f>
        <v/>
      </c>
      <c r="N247" s="301" t="b">
        <f>IF(AND('FT Fee (Franchise)'!I82="Yes"),IF(VLOOKUP('Fee Summary'!A77,'FT Fee (Franchise)'!$A$19:$J$168,4,FALSE)="",VLOOKUP(A77,'FT Fee (Franchise)'!A82:J231,3,FALSE),CONCATENATE(VLOOKUP(A77,'FT Fee (Franchise)'!A82:J231,3,FALSE)," - ",VLOOKUP('Fee Summary'!A77,'FT Fee (Franchise)'!$A$19:$J$168,4,FALSE))))</f>
        <v>0</v>
      </c>
      <c r="O247" s="301" t="str">
        <f>IF(AND('FT Fee (Franchise)'!I82="Yes"),VLOOKUP('Fee Summary'!A77,'FT Fee (Franchise)'!$A$19:$J$168,10,FALSE),"")</f>
        <v/>
      </c>
      <c r="P247" s="301" t="str">
        <f>IF(VLOOKUP(A77,'FT Fee (Franchise)'!A82:K231,3,FALSE)=0,"",VLOOKUP(A77,'FT Fee (Franchise)'!A82:K231,3,FALSE))</f>
        <v/>
      </c>
      <c r="AG247" s="301" t="str">
        <f t="shared" si="33"/>
        <v/>
      </c>
      <c r="AH247" s="457"/>
    </row>
    <row r="248" spans="11:34" ht="15.75" hidden="1" x14ac:dyDescent="0.25">
      <c r="K248" s="301" t="str">
        <f>IF(ISERROR(RANK(L248,$L$23:$L$473,1)+COUNTIF($L$23:L248,L248)-1)=TRUE,"",RANK(L248,$L$23:$L$473,1)+COUNTIF($L$23:L248,L248)-1)</f>
        <v/>
      </c>
      <c r="L248" s="301" t="str">
        <f t="shared" si="32"/>
        <v/>
      </c>
      <c r="M248" s="301" t="str">
        <f>IF(AND('FT Fee (Franchise)'!I83="Yes"),VLOOKUP('Fee Summary'!A78,'FT Fee (Franchise)'!$A$19:$J$168,2,FALSE),"")</f>
        <v/>
      </c>
      <c r="N248" s="301" t="b">
        <f>IF(AND('FT Fee (Franchise)'!I83="Yes"),IF(VLOOKUP('Fee Summary'!A78,'FT Fee (Franchise)'!$A$19:$J$168,4,FALSE)="",VLOOKUP(A78,'FT Fee (Franchise)'!A83:J232,3,FALSE),CONCATENATE(VLOOKUP(A78,'FT Fee (Franchise)'!A83:J232,3,FALSE)," - ",VLOOKUP('Fee Summary'!A78,'FT Fee (Franchise)'!$A$19:$J$168,4,FALSE))))</f>
        <v>0</v>
      </c>
      <c r="O248" s="301" t="str">
        <f>IF(AND('FT Fee (Franchise)'!I83="Yes"),VLOOKUP('Fee Summary'!A78,'FT Fee (Franchise)'!$A$19:$J$168,10,FALSE),"")</f>
        <v/>
      </c>
      <c r="P248" s="301" t="str">
        <f>IF(VLOOKUP(A78,'FT Fee (Franchise)'!A83:K232,3,FALSE)=0,"",VLOOKUP(A78,'FT Fee (Franchise)'!A83:K232,3,FALSE))</f>
        <v/>
      </c>
      <c r="AG248" s="301" t="str">
        <f t="shared" si="33"/>
        <v/>
      </c>
      <c r="AH248" s="457"/>
    </row>
    <row r="249" spans="11:34" ht="15.75" hidden="1" x14ac:dyDescent="0.25">
      <c r="K249" s="301" t="str">
        <f>IF(ISERROR(RANK(L249,$L$23:$L$473,1)+COUNTIF($L$23:L249,L249)-1)=TRUE,"",RANK(L249,$L$23:$L$473,1)+COUNTIF($L$23:L249,L249)-1)</f>
        <v/>
      </c>
      <c r="L249" s="301" t="str">
        <f t="shared" ref="L249:L280" si="34">IF(ISERROR(VLOOKUP(M249,$AA$10:$AA$21,1,FALSE))=TRUE,"",IF(VLOOKUP(M249,$AA$10:$AC$21,2,FALSE)="",VLOOKUP(P249,$AH$11:$AI$160,2,FALSE),VLOOKUP(M249,$AA$10:$AC$21,2,FALSE)))</f>
        <v/>
      </c>
      <c r="M249" s="301" t="str">
        <f>IF(AND('FT Fee (Franchise)'!I84="Yes"),VLOOKUP('Fee Summary'!A79,'FT Fee (Franchise)'!$A$19:$J$168,2,FALSE),"")</f>
        <v/>
      </c>
      <c r="N249" s="301" t="b">
        <f>IF(AND('FT Fee (Franchise)'!I84="Yes"),IF(VLOOKUP('Fee Summary'!A79,'FT Fee (Franchise)'!$A$19:$J$168,4,FALSE)="",VLOOKUP(A79,'FT Fee (Franchise)'!A84:J233,3,FALSE),CONCATENATE(VLOOKUP(A79,'FT Fee (Franchise)'!A84:J233,3,FALSE)," - ",VLOOKUP('Fee Summary'!A79,'FT Fee (Franchise)'!$A$19:$J$168,4,FALSE))))</f>
        <v>0</v>
      </c>
      <c r="O249" s="301" t="str">
        <f>IF(AND('FT Fee (Franchise)'!I84="Yes"),VLOOKUP('Fee Summary'!A79,'FT Fee (Franchise)'!$A$19:$J$168,10,FALSE),"")</f>
        <v/>
      </c>
      <c r="P249" s="301" t="str">
        <f>IF(VLOOKUP(A79,'FT Fee (Franchise)'!A84:K233,3,FALSE)=0,"",VLOOKUP(A79,'FT Fee (Franchise)'!A84:K233,3,FALSE))</f>
        <v/>
      </c>
      <c r="AG249" s="301" t="str">
        <f t="shared" si="33"/>
        <v/>
      </c>
      <c r="AH249" s="457"/>
    </row>
    <row r="250" spans="11:34" ht="15.75" hidden="1" x14ac:dyDescent="0.25">
      <c r="K250" s="301" t="str">
        <f>IF(ISERROR(RANK(L250,$L$23:$L$473,1)+COUNTIF($L$23:L250,L250)-1)=TRUE,"",RANK(L250,$L$23:$L$473,1)+COUNTIF($L$23:L250,L250)-1)</f>
        <v/>
      </c>
      <c r="L250" s="301" t="str">
        <f t="shared" si="34"/>
        <v/>
      </c>
      <c r="M250" s="301" t="str">
        <f>IF(AND('FT Fee (Franchise)'!I85="Yes"),VLOOKUP('Fee Summary'!A80,'FT Fee (Franchise)'!$A$19:$J$168,2,FALSE),"")</f>
        <v/>
      </c>
      <c r="N250" s="301" t="b">
        <f>IF(AND('FT Fee (Franchise)'!I85="Yes"),IF(VLOOKUP('Fee Summary'!A80,'FT Fee (Franchise)'!$A$19:$J$168,4,FALSE)="",VLOOKUP(A80,'FT Fee (Franchise)'!A85:J234,3,FALSE),CONCATENATE(VLOOKUP(A80,'FT Fee (Franchise)'!A85:J234,3,FALSE)," - ",VLOOKUP('Fee Summary'!A80,'FT Fee (Franchise)'!$A$19:$J$168,4,FALSE))))</f>
        <v>0</v>
      </c>
      <c r="O250" s="301" t="str">
        <f>IF(AND('FT Fee (Franchise)'!I85="Yes"),VLOOKUP('Fee Summary'!A80,'FT Fee (Franchise)'!$A$19:$J$168,10,FALSE),"")</f>
        <v/>
      </c>
      <c r="P250" s="301" t="str">
        <f>IF(VLOOKUP(A80,'FT Fee (Franchise)'!A85:K234,3,FALSE)=0,"",VLOOKUP(A80,'FT Fee (Franchise)'!A85:K234,3,FALSE))</f>
        <v/>
      </c>
      <c r="AG250" s="301" t="str">
        <f t="shared" si="33"/>
        <v/>
      </c>
      <c r="AH250" s="457"/>
    </row>
    <row r="251" spans="11:34" ht="15.75" hidden="1" x14ac:dyDescent="0.25">
      <c r="K251" s="301" t="str">
        <f>IF(ISERROR(RANK(L251,$L$23:$L$473,1)+COUNTIF($L$23:L251,L251)-1)=TRUE,"",RANK(L251,$L$23:$L$473,1)+COUNTIF($L$23:L251,L251)-1)</f>
        <v/>
      </c>
      <c r="L251" s="301" t="str">
        <f t="shared" si="34"/>
        <v/>
      </c>
      <c r="M251" s="301" t="str">
        <f>IF(AND('FT Fee (Franchise)'!I86="Yes"),VLOOKUP('Fee Summary'!A81,'FT Fee (Franchise)'!$A$19:$J$168,2,FALSE),"")</f>
        <v/>
      </c>
      <c r="N251" s="301" t="b">
        <f>IF(AND('FT Fee (Franchise)'!I86="Yes"),IF(VLOOKUP('Fee Summary'!A81,'FT Fee (Franchise)'!$A$19:$J$168,4,FALSE)="",VLOOKUP(A81,'FT Fee (Franchise)'!A86:J235,3,FALSE),CONCATENATE(VLOOKUP(A81,'FT Fee (Franchise)'!A86:J235,3,FALSE)," - ",VLOOKUP('Fee Summary'!A81,'FT Fee (Franchise)'!$A$19:$J$168,4,FALSE))))</f>
        <v>0</v>
      </c>
      <c r="O251" s="301" t="str">
        <f>IF(AND('FT Fee (Franchise)'!I86="Yes"),VLOOKUP('Fee Summary'!A81,'FT Fee (Franchise)'!$A$19:$J$168,10,FALSE),"")</f>
        <v/>
      </c>
      <c r="P251" s="301" t="str">
        <f>IF(VLOOKUP(A81,'FT Fee (Franchise)'!A86:K235,3,FALSE)=0,"",VLOOKUP(A81,'FT Fee (Franchise)'!A86:K235,3,FALSE))</f>
        <v/>
      </c>
      <c r="AG251" s="301" t="str">
        <f t="shared" si="33"/>
        <v/>
      </c>
      <c r="AH251" s="457"/>
    </row>
    <row r="252" spans="11:34" ht="15.75" hidden="1" x14ac:dyDescent="0.25">
      <c r="K252" s="301" t="str">
        <f>IF(ISERROR(RANK(L252,$L$23:$L$473,1)+COUNTIF($L$23:L252,L252)-1)=TRUE,"",RANK(L252,$L$23:$L$473,1)+COUNTIF($L$23:L252,L252)-1)</f>
        <v/>
      </c>
      <c r="L252" s="301" t="str">
        <f t="shared" si="34"/>
        <v/>
      </c>
      <c r="M252" s="301" t="str">
        <f>IF(AND('FT Fee (Franchise)'!I87="Yes"),VLOOKUP('Fee Summary'!A82,'FT Fee (Franchise)'!$A$19:$J$168,2,FALSE),"")</f>
        <v/>
      </c>
      <c r="N252" s="301" t="b">
        <f>IF(AND('FT Fee (Franchise)'!I87="Yes"),IF(VLOOKUP('Fee Summary'!A82,'FT Fee (Franchise)'!$A$19:$J$168,4,FALSE)="",VLOOKUP(A82,'FT Fee (Franchise)'!A87:J236,3,FALSE),CONCATENATE(VLOOKUP(A82,'FT Fee (Franchise)'!A87:J236,3,FALSE)," - ",VLOOKUP('Fee Summary'!A82,'FT Fee (Franchise)'!$A$19:$J$168,4,FALSE))))</f>
        <v>0</v>
      </c>
      <c r="O252" s="301" t="str">
        <f>IF(AND('FT Fee (Franchise)'!I87="Yes"),VLOOKUP('Fee Summary'!A82,'FT Fee (Franchise)'!$A$19:$J$168,10,FALSE),"")</f>
        <v/>
      </c>
      <c r="P252" s="301" t="str">
        <f>IF(VLOOKUP(A82,'FT Fee (Franchise)'!A87:K236,3,FALSE)=0,"",VLOOKUP(A82,'FT Fee (Franchise)'!A87:K236,3,FALSE))</f>
        <v/>
      </c>
      <c r="AG252" s="301" t="str">
        <f t="shared" si="33"/>
        <v/>
      </c>
      <c r="AH252" s="457"/>
    </row>
    <row r="253" spans="11:34" ht="15.75" hidden="1" x14ac:dyDescent="0.25">
      <c r="K253" s="301" t="str">
        <f>IF(ISERROR(RANK(L253,$L$23:$L$473,1)+COUNTIF($L$23:L253,L253)-1)=TRUE,"",RANK(L253,$L$23:$L$473,1)+COUNTIF($L$23:L253,L253)-1)</f>
        <v/>
      </c>
      <c r="L253" s="301" t="str">
        <f t="shared" si="34"/>
        <v/>
      </c>
      <c r="M253" s="301" t="str">
        <f>IF(AND('FT Fee (Franchise)'!I88="Yes"),VLOOKUP('Fee Summary'!A83,'FT Fee (Franchise)'!$A$19:$J$168,2,FALSE),"")</f>
        <v/>
      </c>
      <c r="N253" s="301" t="b">
        <f>IF(AND('FT Fee (Franchise)'!I88="Yes"),IF(VLOOKUP('Fee Summary'!A83,'FT Fee (Franchise)'!$A$19:$J$168,4,FALSE)="",VLOOKUP(A83,'FT Fee (Franchise)'!A88:J237,3,FALSE),CONCATENATE(VLOOKUP(A83,'FT Fee (Franchise)'!A88:J237,3,FALSE)," - ",VLOOKUP('Fee Summary'!A83,'FT Fee (Franchise)'!$A$19:$J$168,4,FALSE))))</f>
        <v>0</v>
      </c>
      <c r="O253" s="301" t="str">
        <f>IF(AND('FT Fee (Franchise)'!I88="Yes"),VLOOKUP('Fee Summary'!A83,'FT Fee (Franchise)'!$A$19:$J$168,10,FALSE),"")</f>
        <v/>
      </c>
      <c r="P253" s="301" t="str">
        <f>IF(VLOOKUP(A83,'FT Fee (Franchise)'!A88:K237,3,FALSE)=0,"",VLOOKUP(A83,'FT Fee (Franchise)'!A88:K237,3,FALSE))</f>
        <v/>
      </c>
      <c r="AG253" s="301" t="str">
        <f t="shared" si="33"/>
        <v/>
      </c>
      <c r="AH253" s="457"/>
    </row>
    <row r="254" spans="11:34" ht="15.75" hidden="1" x14ac:dyDescent="0.25">
      <c r="K254" s="301" t="str">
        <f>IF(ISERROR(RANK(L254,$L$23:$L$473,1)+COUNTIF($L$23:L254,L254)-1)=TRUE,"",RANK(L254,$L$23:$L$473,1)+COUNTIF($L$23:L254,L254)-1)</f>
        <v/>
      </c>
      <c r="L254" s="301" t="str">
        <f t="shared" si="34"/>
        <v/>
      </c>
      <c r="M254" s="301" t="str">
        <f>IF(AND('FT Fee (Franchise)'!I89="Yes"),VLOOKUP('Fee Summary'!A84,'FT Fee (Franchise)'!$A$19:$J$168,2,FALSE),"")</f>
        <v/>
      </c>
      <c r="N254" s="301" t="b">
        <f>IF(AND('FT Fee (Franchise)'!I89="Yes"),IF(VLOOKUP('Fee Summary'!A84,'FT Fee (Franchise)'!$A$19:$J$168,4,FALSE)="",VLOOKUP(A84,'FT Fee (Franchise)'!A89:J238,3,FALSE),CONCATENATE(VLOOKUP(A84,'FT Fee (Franchise)'!A89:J238,3,FALSE)," - ",VLOOKUP('Fee Summary'!A84,'FT Fee (Franchise)'!$A$19:$J$168,4,FALSE))))</f>
        <v>0</v>
      </c>
      <c r="O254" s="301" t="str">
        <f>IF(AND('FT Fee (Franchise)'!I89="Yes"),VLOOKUP('Fee Summary'!A84,'FT Fee (Franchise)'!$A$19:$J$168,10,FALSE),"")</f>
        <v/>
      </c>
      <c r="P254" s="301" t="str">
        <f>IF(VLOOKUP(A84,'FT Fee (Franchise)'!A89:K238,3,FALSE)=0,"",VLOOKUP(A84,'FT Fee (Franchise)'!A89:K238,3,FALSE))</f>
        <v/>
      </c>
      <c r="AG254" s="301" t="str">
        <f t="shared" si="33"/>
        <v/>
      </c>
      <c r="AH254" s="457"/>
    </row>
    <row r="255" spans="11:34" ht="15.75" hidden="1" x14ac:dyDescent="0.25">
      <c r="K255" s="301" t="str">
        <f>IF(ISERROR(RANK(L255,$L$23:$L$473,1)+COUNTIF($L$23:L255,L255)-1)=TRUE,"",RANK(L255,$L$23:$L$473,1)+COUNTIF($L$23:L255,L255)-1)</f>
        <v/>
      </c>
      <c r="L255" s="301" t="str">
        <f t="shared" si="34"/>
        <v/>
      </c>
      <c r="M255" s="301" t="str">
        <f>IF(AND('FT Fee (Franchise)'!I90="Yes"),VLOOKUP('Fee Summary'!A85,'FT Fee (Franchise)'!$A$19:$J$168,2,FALSE),"")</f>
        <v/>
      </c>
      <c r="N255" s="301" t="b">
        <f>IF(AND('FT Fee (Franchise)'!I90="Yes"),IF(VLOOKUP('Fee Summary'!A85,'FT Fee (Franchise)'!$A$19:$J$168,4,FALSE)="",VLOOKUP(A85,'FT Fee (Franchise)'!A90:J239,3,FALSE),CONCATENATE(VLOOKUP(A85,'FT Fee (Franchise)'!A90:J239,3,FALSE)," - ",VLOOKUP('Fee Summary'!A85,'FT Fee (Franchise)'!$A$19:$J$168,4,FALSE))))</f>
        <v>0</v>
      </c>
      <c r="O255" s="301" t="str">
        <f>IF(AND('FT Fee (Franchise)'!I90="Yes"),VLOOKUP('Fee Summary'!A85,'FT Fee (Franchise)'!$A$19:$J$168,10,FALSE),"")</f>
        <v/>
      </c>
      <c r="P255" s="301" t="str">
        <f>IF(VLOOKUP(A85,'FT Fee (Franchise)'!A90:K239,3,FALSE)=0,"",VLOOKUP(A85,'FT Fee (Franchise)'!A90:K239,3,FALSE))</f>
        <v/>
      </c>
      <c r="AG255" s="301" t="str">
        <f t="shared" si="33"/>
        <v/>
      </c>
      <c r="AH255" s="457"/>
    </row>
    <row r="256" spans="11:34" ht="15.75" hidden="1" x14ac:dyDescent="0.25">
      <c r="K256" s="301" t="str">
        <f>IF(ISERROR(RANK(L256,$L$23:$L$473,1)+COUNTIF($L$23:L256,L256)-1)=TRUE,"",RANK(L256,$L$23:$L$473,1)+COUNTIF($L$23:L256,L256)-1)</f>
        <v/>
      </c>
      <c r="L256" s="301" t="str">
        <f t="shared" si="34"/>
        <v/>
      </c>
      <c r="M256" s="301" t="str">
        <f>IF(AND('FT Fee (Franchise)'!I91="Yes"),VLOOKUP('Fee Summary'!A86,'FT Fee (Franchise)'!$A$19:$J$168,2,FALSE),"")</f>
        <v/>
      </c>
      <c r="N256" s="301" t="b">
        <f>IF(AND('FT Fee (Franchise)'!I91="Yes"),IF(VLOOKUP('Fee Summary'!A86,'FT Fee (Franchise)'!$A$19:$J$168,4,FALSE)="",VLOOKUP(A86,'FT Fee (Franchise)'!A91:J240,3,FALSE),CONCATENATE(VLOOKUP(A86,'FT Fee (Franchise)'!A91:J240,3,FALSE)," - ",VLOOKUP('Fee Summary'!A86,'FT Fee (Franchise)'!$A$19:$J$168,4,FALSE))))</f>
        <v>0</v>
      </c>
      <c r="O256" s="301" t="str">
        <f>IF(AND('FT Fee (Franchise)'!I91="Yes"),VLOOKUP('Fee Summary'!A86,'FT Fee (Franchise)'!$A$19:$J$168,10,FALSE),"")</f>
        <v/>
      </c>
      <c r="P256" s="301" t="str">
        <f>IF(VLOOKUP(A86,'FT Fee (Franchise)'!A91:K240,3,FALSE)=0,"",VLOOKUP(A86,'FT Fee (Franchise)'!A91:K240,3,FALSE))</f>
        <v/>
      </c>
      <c r="AG256" s="301" t="str">
        <f t="shared" si="33"/>
        <v/>
      </c>
      <c r="AH256" s="457"/>
    </row>
    <row r="257" spans="11:34" ht="15.75" hidden="1" x14ac:dyDescent="0.25">
      <c r="K257" s="301" t="str">
        <f>IF(ISERROR(RANK(L257,$L$23:$L$473,1)+COUNTIF($L$23:L257,L257)-1)=TRUE,"",RANK(L257,$L$23:$L$473,1)+COUNTIF($L$23:L257,L257)-1)</f>
        <v/>
      </c>
      <c r="L257" s="301" t="str">
        <f t="shared" si="34"/>
        <v/>
      </c>
      <c r="M257" s="301" t="str">
        <f>IF(AND('FT Fee (Franchise)'!I92="Yes"),VLOOKUP('Fee Summary'!A87,'FT Fee (Franchise)'!$A$19:$J$168,2,FALSE),"")</f>
        <v/>
      </c>
      <c r="N257" s="301" t="b">
        <f>IF(AND('FT Fee (Franchise)'!I92="Yes"),IF(VLOOKUP('Fee Summary'!A87,'FT Fee (Franchise)'!$A$19:$J$168,4,FALSE)="",VLOOKUP(A87,'FT Fee (Franchise)'!A92:J241,3,FALSE),CONCATENATE(VLOOKUP(A87,'FT Fee (Franchise)'!A92:J241,3,FALSE)," - ",VLOOKUP('Fee Summary'!A87,'FT Fee (Franchise)'!$A$19:$J$168,4,FALSE))))</f>
        <v>0</v>
      </c>
      <c r="O257" s="301" t="str">
        <f>IF(AND('FT Fee (Franchise)'!I92="Yes"),VLOOKUP('Fee Summary'!A87,'FT Fee (Franchise)'!$A$19:$J$168,10,FALSE),"")</f>
        <v/>
      </c>
      <c r="P257" s="301" t="str">
        <f>IF(VLOOKUP(A87,'FT Fee (Franchise)'!A92:K241,3,FALSE)=0,"",VLOOKUP(A87,'FT Fee (Franchise)'!A92:K241,3,FALSE))</f>
        <v/>
      </c>
      <c r="AG257" s="301" t="str">
        <f t="shared" si="33"/>
        <v/>
      </c>
      <c r="AH257" s="457"/>
    </row>
    <row r="258" spans="11:34" ht="15.75" hidden="1" x14ac:dyDescent="0.25">
      <c r="K258" s="301" t="str">
        <f>IF(ISERROR(RANK(L258,$L$23:$L$473,1)+COUNTIF($L$23:L258,L258)-1)=TRUE,"",RANK(L258,$L$23:$L$473,1)+COUNTIF($L$23:L258,L258)-1)</f>
        <v/>
      </c>
      <c r="L258" s="301" t="str">
        <f t="shared" si="34"/>
        <v/>
      </c>
      <c r="M258" s="301" t="str">
        <f>IF(AND('FT Fee (Franchise)'!I93="Yes"),VLOOKUP('Fee Summary'!A88,'FT Fee (Franchise)'!$A$19:$J$168,2,FALSE),"")</f>
        <v/>
      </c>
      <c r="N258" s="301" t="b">
        <f>IF(AND('FT Fee (Franchise)'!I93="Yes"),IF(VLOOKUP('Fee Summary'!A88,'FT Fee (Franchise)'!$A$19:$J$168,4,FALSE)="",VLOOKUP(A88,'FT Fee (Franchise)'!A93:J242,3,FALSE),CONCATENATE(VLOOKUP(A88,'FT Fee (Franchise)'!A93:J242,3,FALSE)," - ",VLOOKUP('Fee Summary'!A88,'FT Fee (Franchise)'!$A$19:$J$168,4,FALSE))))</f>
        <v>0</v>
      </c>
      <c r="O258" s="301" t="str">
        <f>IF(AND('FT Fee (Franchise)'!I93="Yes"),VLOOKUP('Fee Summary'!A88,'FT Fee (Franchise)'!$A$19:$J$168,10,FALSE),"")</f>
        <v/>
      </c>
      <c r="P258" s="301" t="str">
        <f>IF(VLOOKUP(A88,'FT Fee (Franchise)'!A93:K242,3,FALSE)=0,"",VLOOKUP(A88,'FT Fee (Franchise)'!A93:K242,3,FALSE))</f>
        <v/>
      </c>
      <c r="AG258" s="301" t="str">
        <f t="shared" si="33"/>
        <v/>
      </c>
      <c r="AH258" s="457"/>
    </row>
    <row r="259" spans="11:34" ht="15.75" hidden="1" x14ac:dyDescent="0.25">
      <c r="K259" s="301" t="str">
        <f>IF(ISERROR(RANK(L259,$L$23:$L$473,1)+COUNTIF($L$23:L259,L259)-1)=TRUE,"",RANK(L259,$L$23:$L$473,1)+COUNTIF($L$23:L259,L259)-1)</f>
        <v/>
      </c>
      <c r="L259" s="301" t="str">
        <f t="shared" si="34"/>
        <v/>
      </c>
      <c r="M259" s="301" t="str">
        <f>IF(AND('FT Fee (Franchise)'!I94="Yes"),VLOOKUP('Fee Summary'!A89,'FT Fee (Franchise)'!$A$19:$J$168,2,FALSE),"")</f>
        <v/>
      </c>
      <c r="N259" s="301" t="b">
        <f>IF(AND('FT Fee (Franchise)'!I94="Yes"),IF(VLOOKUP('Fee Summary'!A89,'FT Fee (Franchise)'!$A$19:$J$168,4,FALSE)="",VLOOKUP(A89,'FT Fee (Franchise)'!A94:J243,3,FALSE),CONCATENATE(VLOOKUP(A89,'FT Fee (Franchise)'!A94:J243,3,FALSE)," - ",VLOOKUP('Fee Summary'!A89,'FT Fee (Franchise)'!$A$19:$J$168,4,FALSE))))</f>
        <v>0</v>
      </c>
      <c r="O259" s="301" t="str">
        <f>IF(AND('FT Fee (Franchise)'!I94="Yes"),VLOOKUP('Fee Summary'!A89,'FT Fee (Franchise)'!$A$19:$J$168,10,FALSE),"")</f>
        <v/>
      </c>
      <c r="P259" s="301" t="str">
        <f>IF(VLOOKUP(A89,'FT Fee (Franchise)'!A94:K243,3,FALSE)=0,"",VLOOKUP(A89,'FT Fee (Franchise)'!A94:K243,3,FALSE))</f>
        <v/>
      </c>
      <c r="AG259" s="301" t="str">
        <f t="shared" si="33"/>
        <v/>
      </c>
      <c r="AH259" s="457"/>
    </row>
    <row r="260" spans="11:34" ht="15.75" hidden="1" x14ac:dyDescent="0.25">
      <c r="K260" s="301" t="str">
        <f>IF(ISERROR(RANK(L260,$L$23:$L$473,1)+COUNTIF($L$23:L260,L260)-1)=TRUE,"",RANK(L260,$L$23:$L$473,1)+COUNTIF($L$23:L260,L260)-1)</f>
        <v/>
      </c>
      <c r="L260" s="301" t="str">
        <f t="shared" si="34"/>
        <v/>
      </c>
      <c r="M260" s="301" t="str">
        <f>IF(AND('FT Fee (Franchise)'!I95="Yes"),VLOOKUP('Fee Summary'!A90,'FT Fee (Franchise)'!$A$19:$J$168,2,FALSE),"")</f>
        <v/>
      </c>
      <c r="N260" s="301" t="b">
        <f>IF(AND('FT Fee (Franchise)'!I95="Yes"),IF(VLOOKUP('Fee Summary'!A90,'FT Fee (Franchise)'!$A$19:$J$168,4,FALSE)="",VLOOKUP(A90,'FT Fee (Franchise)'!A95:J244,3,FALSE),CONCATENATE(VLOOKUP(A90,'FT Fee (Franchise)'!A95:J244,3,FALSE)," - ",VLOOKUP('Fee Summary'!A90,'FT Fee (Franchise)'!$A$19:$J$168,4,FALSE))))</f>
        <v>0</v>
      </c>
      <c r="O260" s="301" t="str">
        <f>IF(AND('FT Fee (Franchise)'!I95="Yes"),VLOOKUP('Fee Summary'!A90,'FT Fee (Franchise)'!$A$19:$J$168,10,FALSE),"")</f>
        <v/>
      </c>
      <c r="P260" s="301" t="str">
        <f>IF(VLOOKUP(A90,'FT Fee (Franchise)'!A95:K244,3,FALSE)=0,"",VLOOKUP(A90,'FT Fee (Franchise)'!A95:K244,3,FALSE))</f>
        <v/>
      </c>
      <c r="AG260" s="301" t="str">
        <f t="shared" si="33"/>
        <v/>
      </c>
      <c r="AH260" s="457"/>
    </row>
    <row r="261" spans="11:34" ht="15.75" hidden="1" x14ac:dyDescent="0.25">
      <c r="K261" s="301" t="str">
        <f>IF(ISERROR(RANK(L261,$L$23:$L$473,1)+COUNTIF($L$23:L261,L261)-1)=TRUE,"",RANK(L261,$L$23:$L$473,1)+COUNTIF($L$23:L261,L261)-1)</f>
        <v/>
      </c>
      <c r="L261" s="301" t="str">
        <f t="shared" si="34"/>
        <v/>
      </c>
      <c r="M261" s="301" t="str">
        <f>IF(AND('FT Fee (Franchise)'!I96="Yes"),VLOOKUP('Fee Summary'!A91,'FT Fee (Franchise)'!$A$19:$J$168,2,FALSE),"")</f>
        <v/>
      </c>
      <c r="N261" s="301" t="b">
        <f>IF(AND('FT Fee (Franchise)'!I96="Yes"),IF(VLOOKUP('Fee Summary'!A91,'FT Fee (Franchise)'!$A$19:$J$168,4,FALSE)="",VLOOKUP(A91,'FT Fee (Franchise)'!A96:J245,3,FALSE),CONCATENATE(VLOOKUP(A91,'FT Fee (Franchise)'!A96:J245,3,FALSE)," - ",VLOOKUP('Fee Summary'!A91,'FT Fee (Franchise)'!$A$19:$J$168,4,FALSE))))</f>
        <v>0</v>
      </c>
      <c r="O261" s="301" t="str">
        <f>IF(AND('FT Fee (Franchise)'!I96="Yes"),VLOOKUP('Fee Summary'!A91,'FT Fee (Franchise)'!$A$19:$J$168,10,FALSE),"")</f>
        <v/>
      </c>
      <c r="P261" s="301" t="str">
        <f>IF(VLOOKUP(A91,'FT Fee (Franchise)'!A96:K245,3,FALSE)=0,"",VLOOKUP(A91,'FT Fee (Franchise)'!A96:K245,3,FALSE))</f>
        <v/>
      </c>
      <c r="AG261" s="301" t="str">
        <f t="shared" si="33"/>
        <v/>
      </c>
      <c r="AH261" s="457"/>
    </row>
    <row r="262" spans="11:34" ht="15.75" hidden="1" x14ac:dyDescent="0.25">
      <c r="K262" s="301" t="str">
        <f>IF(ISERROR(RANK(L262,$L$23:$L$473,1)+COUNTIF($L$23:L262,L262)-1)=TRUE,"",RANK(L262,$L$23:$L$473,1)+COUNTIF($L$23:L262,L262)-1)</f>
        <v/>
      </c>
      <c r="L262" s="301" t="str">
        <f t="shared" si="34"/>
        <v/>
      </c>
      <c r="M262" s="301" t="str">
        <f>IF(AND('FT Fee (Franchise)'!I97="Yes"),VLOOKUP('Fee Summary'!A92,'FT Fee (Franchise)'!$A$19:$J$168,2,FALSE),"")</f>
        <v/>
      </c>
      <c r="N262" s="301" t="b">
        <f>IF(AND('FT Fee (Franchise)'!I97="Yes"),IF(VLOOKUP('Fee Summary'!A92,'FT Fee (Franchise)'!$A$19:$J$168,4,FALSE)="",VLOOKUP(A92,'FT Fee (Franchise)'!A97:J246,3,FALSE),CONCATENATE(VLOOKUP(A92,'FT Fee (Franchise)'!A97:J246,3,FALSE)," - ",VLOOKUP('Fee Summary'!A92,'FT Fee (Franchise)'!$A$19:$J$168,4,FALSE))))</f>
        <v>0</v>
      </c>
      <c r="O262" s="301" t="str">
        <f>IF(AND('FT Fee (Franchise)'!I97="Yes"),VLOOKUP('Fee Summary'!A92,'FT Fee (Franchise)'!$A$19:$J$168,10,FALSE),"")</f>
        <v/>
      </c>
      <c r="P262" s="301" t="str">
        <f>IF(VLOOKUP(A92,'FT Fee (Franchise)'!A97:K246,3,FALSE)=0,"",VLOOKUP(A92,'FT Fee (Franchise)'!A97:K246,3,FALSE))</f>
        <v/>
      </c>
      <c r="AG262" s="301" t="str">
        <f t="shared" si="33"/>
        <v/>
      </c>
      <c r="AH262" s="457"/>
    </row>
    <row r="263" spans="11:34" ht="15.75" hidden="1" x14ac:dyDescent="0.25">
      <c r="K263" s="301" t="str">
        <f>IF(ISERROR(RANK(L263,$L$23:$L$473,1)+COUNTIF($L$23:L263,L263)-1)=TRUE,"",RANK(L263,$L$23:$L$473,1)+COUNTIF($L$23:L263,L263)-1)</f>
        <v/>
      </c>
      <c r="L263" s="301" t="str">
        <f t="shared" si="34"/>
        <v/>
      </c>
      <c r="M263" s="301" t="str">
        <f>IF(AND('FT Fee (Franchise)'!I98="Yes"),VLOOKUP('Fee Summary'!A93,'FT Fee (Franchise)'!$A$19:$J$168,2,FALSE),"")</f>
        <v/>
      </c>
      <c r="N263" s="301" t="b">
        <f>IF(AND('FT Fee (Franchise)'!I98="Yes"),IF(VLOOKUP('Fee Summary'!A93,'FT Fee (Franchise)'!$A$19:$J$168,4,FALSE)="",VLOOKUP(A93,'FT Fee (Franchise)'!A98:J247,3,FALSE),CONCATENATE(VLOOKUP(A93,'FT Fee (Franchise)'!A98:J247,3,FALSE)," - ",VLOOKUP('Fee Summary'!A93,'FT Fee (Franchise)'!$A$19:$J$168,4,FALSE))))</f>
        <v>0</v>
      </c>
      <c r="O263" s="301" t="str">
        <f>IF(AND('FT Fee (Franchise)'!I98="Yes"),VLOOKUP('Fee Summary'!A93,'FT Fee (Franchise)'!$A$19:$J$168,10,FALSE),"")</f>
        <v/>
      </c>
      <c r="P263" s="301" t="str">
        <f>IF(VLOOKUP(A93,'FT Fee (Franchise)'!A98:K247,3,FALSE)=0,"",VLOOKUP(A93,'FT Fee (Franchise)'!A98:K247,3,FALSE))</f>
        <v/>
      </c>
      <c r="AG263" s="301" t="str">
        <f t="shared" si="33"/>
        <v/>
      </c>
      <c r="AH263" s="457"/>
    </row>
    <row r="264" spans="11:34" ht="15.75" hidden="1" x14ac:dyDescent="0.25">
      <c r="K264" s="301" t="str">
        <f>IF(ISERROR(RANK(L264,$L$23:$L$473,1)+COUNTIF($L$23:L264,L264)-1)=TRUE,"",RANK(L264,$L$23:$L$473,1)+COUNTIF($L$23:L264,L264)-1)</f>
        <v/>
      </c>
      <c r="L264" s="301" t="str">
        <f t="shared" si="34"/>
        <v/>
      </c>
      <c r="M264" s="301" t="str">
        <f>IF(AND('FT Fee (Franchise)'!I99="Yes"),VLOOKUP('Fee Summary'!A94,'FT Fee (Franchise)'!$A$19:$J$168,2,FALSE),"")</f>
        <v/>
      </c>
      <c r="N264" s="301" t="b">
        <f>IF(AND('FT Fee (Franchise)'!I99="Yes"),IF(VLOOKUP('Fee Summary'!A94,'FT Fee (Franchise)'!$A$19:$J$168,4,FALSE)="",VLOOKUP(A94,'FT Fee (Franchise)'!A99:J248,3,FALSE),CONCATENATE(VLOOKUP(A94,'FT Fee (Franchise)'!A99:J248,3,FALSE)," - ",VLOOKUP('Fee Summary'!A94,'FT Fee (Franchise)'!$A$19:$J$168,4,FALSE))))</f>
        <v>0</v>
      </c>
      <c r="O264" s="301" t="str">
        <f>IF(AND('FT Fee (Franchise)'!I99="Yes"),VLOOKUP('Fee Summary'!A94,'FT Fee (Franchise)'!$A$19:$J$168,10,FALSE),"")</f>
        <v/>
      </c>
      <c r="P264" s="301" t="str">
        <f>IF(VLOOKUP(A94,'FT Fee (Franchise)'!A99:K248,3,FALSE)=0,"",VLOOKUP(A94,'FT Fee (Franchise)'!A99:K248,3,FALSE))</f>
        <v/>
      </c>
      <c r="AG264" s="301" t="str">
        <f t="shared" si="33"/>
        <v/>
      </c>
      <c r="AH264" s="457"/>
    </row>
    <row r="265" spans="11:34" ht="15.75" hidden="1" x14ac:dyDescent="0.25">
      <c r="K265" s="301" t="str">
        <f>IF(ISERROR(RANK(L265,$L$23:$L$473,1)+COUNTIF($L$23:L265,L265)-1)=TRUE,"",RANK(L265,$L$23:$L$473,1)+COUNTIF($L$23:L265,L265)-1)</f>
        <v/>
      </c>
      <c r="L265" s="301" t="str">
        <f t="shared" si="34"/>
        <v/>
      </c>
      <c r="M265" s="301" t="str">
        <f>IF(AND('FT Fee (Franchise)'!I100="Yes"),VLOOKUP('Fee Summary'!A95,'FT Fee (Franchise)'!$A$19:$J$168,2,FALSE),"")</f>
        <v/>
      </c>
      <c r="N265" s="301" t="b">
        <f>IF(AND('FT Fee (Franchise)'!I100="Yes"),IF(VLOOKUP('Fee Summary'!A95,'FT Fee (Franchise)'!$A$19:$J$168,4,FALSE)="",VLOOKUP(A95,'FT Fee (Franchise)'!A100:J249,3,FALSE),CONCATENATE(VLOOKUP(A95,'FT Fee (Franchise)'!A100:J249,3,FALSE)," - ",VLOOKUP('Fee Summary'!A95,'FT Fee (Franchise)'!$A$19:$J$168,4,FALSE))))</f>
        <v>0</v>
      </c>
      <c r="O265" s="301" t="str">
        <f>IF(AND('FT Fee (Franchise)'!I100="Yes"),VLOOKUP('Fee Summary'!A95,'FT Fee (Franchise)'!$A$19:$J$168,10,FALSE),"")</f>
        <v/>
      </c>
      <c r="P265" s="301" t="str">
        <f>IF(VLOOKUP(A95,'FT Fee (Franchise)'!A100:K249,3,FALSE)=0,"",VLOOKUP(A95,'FT Fee (Franchise)'!A100:K249,3,FALSE))</f>
        <v/>
      </c>
      <c r="AG265" s="301" t="str">
        <f t="shared" si="33"/>
        <v/>
      </c>
      <c r="AH265" s="457"/>
    </row>
    <row r="266" spans="11:34" ht="15.75" hidden="1" x14ac:dyDescent="0.25">
      <c r="K266" s="301" t="str">
        <f>IF(ISERROR(RANK(L266,$L$23:$L$473,1)+COUNTIF($L$23:L266,L266)-1)=TRUE,"",RANK(L266,$L$23:$L$473,1)+COUNTIF($L$23:L266,L266)-1)</f>
        <v/>
      </c>
      <c r="L266" s="301" t="str">
        <f t="shared" si="34"/>
        <v/>
      </c>
      <c r="M266" s="301" t="str">
        <f>IF(AND('FT Fee (Franchise)'!I101="Yes"),VLOOKUP('Fee Summary'!A96,'FT Fee (Franchise)'!$A$19:$J$168,2,FALSE),"")</f>
        <v/>
      </c>
      <c r="N266" s="301" t="b">
        <f>IF(AND('FT Fee (Franchise)'!I101="Yes"),IF(VLOOKUP('Fee Summary'!A96,'FT Fee (Franchise)'!$A$19:$J$168,4,FALSE)="",VLOOKUP(A96,'FT Fee (Franchise)'!A101:J250,3,FALSE),CONCATENATE(VLOOKUP(A96,'FT Fee (Franchise)'!A101:J250,3,FALSE)," - ",VLOOKUP('Fee Summary'!A96,'FT Fee (Franchise)'!$A$19:$J$168,4,FALSE))))</f>
        <v>0</v>
      </c>
      <c r="O266" s="301" t="str">
        <f>IF(AND('FT Fee (Franchise)'!I101="Yes"),VLOOKUP('Fee Summary'!A96,'FT Fee (Franchise)'!$A$19:$J$168,10,FALSE),"")</f>
        <v/>
      </c>
      <c r="P266" s="301" t="str">
        <f>IF(VLOOKUP(A96,'FT Fee (Franchise)'!A101:K250,3,FALSE)=0,"",VLOOKUP(A96,'FT Fee (Franchise)'!A101:K250,3,FALSE))</f>
        <v/>
      </c>
      <c r="AG266" s="301" t="str">
        <f t="shared" si="33"/>
        <v/>
      </c>
      <c r="AH266" s="457"/>
    </row>
    <row r="267" spans="11:34" ht="15.75" hidden="1" x14ac:dyDescent="0.25">
      <c r="K267" s="301" t="str">
        <f>IF(ISERROR(RANK(L267,$L$23:$L$473,1)+COUNTIF($L$23:L267,L267)-1)=TRUE,"",RANK(L267,$L$23:$L$473,1)+COUNTIF($L$23:L267,L267)-1)</f>
        <v/>
      </c>
      <c r="L267" s="301" t="str">
        <f t="shared" si="34"/>
        <v/>
      </c>
      <c r="M267" s="301" t="str">
        <f>IF(AND('FT Fee (Franchise)'!I102="Yes"),VLOOKUP('Fee Summary'!A97,'FT Fee (Franchise)'!$A$19:$J$168,2,FALSE),"")</f>
        <v/>
      </c>
      <c r="N267" s="301" t="b">
        <f>IF(AND('FT Fee (Franchise)'!I102="Yes"),IF(VLOOKUP('Fee Summary'!A97,'FT Fee (Franchise)'!$A$19:$J$168,4,FALSE)="",VLOOKUP(A97,'FT Fee (Franchise)'!A102:J251,3,FALSE),CONCATENATE(VLOOKUP(A97,'FT Fee (Franchise)'!A102:J251,3,FALSE)," - ",VLOOKUP('Fee Summary'!A97,'FT Fee (Franchise)'!$A$19:$J$168,4,FALSE))))</f>
        <v>0</v>
      </c>
      <c r="O267" s="301" t="str">
        <f>IF(AND('FT Fee (Franchise)'!I102="Yes"),VLOOKUP('Fee Summary'!A97,'FT Fee (Franchise)'!$A$19:$J$168,10,FALSE),"")</f>
        <v/>
      </c>
      <c r="P267" s="301" t="str">
        <f>IF(VLOOKUP(A97,'FT Fee (Franchise)'!A102:K251,3,FALSE)=0,"",VLOOKUP(A97,'FT Fee (Franchise)'!A102:K251,3,FALSE))</f>
        <v/>
      </c>
      <c r="AG267" s="301" t="str">
        <f t="shared" si="33"/>
        <v/>
      </c>
      <c r="AH267" s="457"/>
    </row>
    <row r="268" spans="11:34" ht="15.75" hidden="1" x14ac:dyDescent="0.25">
      <c r="K268" s="301" t="str">
        <f>IF(ISERROR(RANK(L268,$L$23:$L$473,1)+COUNTIF($L$23:L268,L268)-1)=TRUE,"",RANK(L268,$L$23:$L$473,1)+COUNTIF($L$23:L268,L268)-1)</f>
        <v/>
      </c>
      <c r="L268" s="301" t="str">
        <f t="shared" si="34"/>
        <v/>
      </c>
      <c r="M268" s="301" t="str">
        <f>IF(AND('FT Fee (Franchise)'!I103="Yes"),VLOOKUP('Fee Summary'!A98,'FT Fee (Franchise)'!$A$19:$J$168,2,FALSE),"")</f>
        <v/>
      </c>
      <c r="N268" s="301" t="b">
        <f>IF(AND('FT Fee (Franchise)'!I103="Yes"),IF(VLOOKUP('Fee Summary'!A98,'FT Fee (Franchise)'!$A$19:$J$168,4,FALSE)="",VLOOKUP(A98,'FT Fee (Franchise)'!A103:J252,3,FALSE),CONCATENATE(VLOOKUP(A98,'FT Fee (Franchise)'!A103:J252,3,FALSE)," - ",VLOOKUP('Fee Summary'!A98,'FT Fee (Franchise)'!$A$19:$J$168,4,FALSE))))</f>
        <v>0</v>
      </c>
      <c r="O268" s="301" t="str">
        <f>IF(AND('FT Fee (Franchise)'!I103="Yes"),VLOOKUP('Fee Summary'!A98,'FT Fee (Franchise)'!$A$19:$J$168,10,FALSE),"")</f>
        <v/>
      </c>
      <c r="P268" s="301" t="str">
        <f>IF(VLOOKUP(A98,'FT Fee (Franchise)'!A103:K252,3,FALSE)=0,"",VLOOKUP(A98,'FT Fee (Franchise)'!A103:K252,3,FALSE))</f>
        <v/>
      </c>
      <c r="AG268" s="301" t="str">
        <f t="shared" si="33"/>
        <v/>
      </c>
      <c r="AH268" s="457"/>
    </row>
    <row r="269" spans="11:34" ht="15.75" hidden="1" x14ac:dyDescent="0.25">
      <c r="K269" s="301" t="str">
        <f>IF(ISERROR(RANK(L269,$L$23:$L$473,1)+COUNTIF($L$23:L269,L269)-1)=TRUE,"",RANK(L269,$L$23:$L$473,1)+COUNTIF($L$23:L269,L269)-1)</f>
        <v/>
      </c>
      <c r="L269" s="301" t="str">
        <f t="shared" si="34"/>
        <v/>
      </c>
      <c r="M269" s="301" t="str">
        <f>IF(AND('FT Fee (Franchise)'!I104="Yes"),VLOOKUP('Fee Summary'!A99,'FT Fee (Franchise)'!$A$19:$J$168,2,FALSE),"")</f>
        <v/>
      </c>
      <c r="N269" s="301" t="b">
        <f>IF(AND('FT Fee (Franchise)'!I104="Yes"),IF(VLOOKUP('Fee Summary'!A99,'FT Fee (Franchise)'!$A$19:$J$168,4,FALSE)="",VLOOKUP(A99,'FT Fee (Franchise)'!A104:J253,3,FALSE),CONCATENATE(VLOOKUP(A99,'FT Fee (Franchise)'!A104:J253,3,FALSE)," - ",VLOOKUP('Fee Summary'!A99,'FT Fee (Franchise)'!$A$19:$J$168,4,FALSE))))</f>
        <v>0</v>
      </c>
      <c r="O269" s="301" t="str">
        <f>IF(AND('FT Fee (Franchise)'!I104="Yes"),VLOOKUP('Fee Summary'!A99,'FT Fee (Franchise)'!$A$19:$J$168,10,FALSE),"")</f>
        <v/>
      </c>
      <c r="P269" s="301" t="str">
        <f>IF(VLOOKUP(A99,'FT Fee (Franchise)'!A104:K253,3,FALSE)=0,"",VLOOKUP(A99,'FT Fee (Franchise)'!A104:K253,3,FALSE))</f>
        <v/>
      </c>
      <c r="AG269" s="301" t="str">
        <f t="shared" si="33"/>
        <v/>
      </c>
      <c r="AH269" s="457"/>
    </row>
    <row r="270" spans="11:34" ht="15.75" hidden="1" x14ac:dyDescent="0.25">
      <c r="K270" s="301" t="str">
        <f>IF(ISERROR(RANK(L270,$L$23:$L$473,1)+COUNTIF($L$23:L270,L270)-1)=TRUE,"",RANK(L270,$L$23:$L$473,1)+COUNTIF($L$23:L270,L270)-1)</f>
        <v/>
      </c>
      <c r="L270" s="301" t="str">
        <f t="shared" si="34"/>
        <v/>
      </c>
      <c r="M270" s="301" t="str">
        <f>IF(AND('FT Fee (Franchise)'!I105="Yes"),VLOOKUP('Fee Summary'!A100,'FT Fee (Franchise)'!$A$19:$J$168,2,FALSE),"")</f>
        <v/>
      </c>
      <c r="N270" s="301" t="b">
        <f>IF(AND('FT Fee (Franchise)'!I105="Yes"),IF(VLOOKUP('Fee Summary'!A100,'FT Fee (Franchise)'!$A$19:$J$168,4,FALSE)="",VLOOKUP(A100,'FT Fee (Franchise)'!A105:J254,3,FALSE),CONCATENATE(VLOOKUP(A100,'FT Fee (Franchise)'!A105:J254,3,FALSE)," - ",VLOOKUP('Fee Summary'!A100,'FT Fee (Franchise)'!$A$19:$J$168,4,FALSE))))</f>
        <v>0</v>
      </c>
      <c r="O270" s="301" t="str">
        <f>IF(AND('FT Fee (Franchise)'!I105="Yes"),VLOOKUP('Fee Summary'!A100,'FT Fee (Franchise)'!$A$19:$J$168,10,FALSE),"")</f>
        <v/>
      </c>
      <c r="P270" s="301" t="str">
        <f>IF(VLOOKUP(A100,'FT Fee (Franchise)'!A105:K254,3,FALSE)=0,"",VLOOKUP(A100,'FT Fee (Franchise)'!A105:K254,3,FALSE))</f>
        <v/>
      </c>
      <c r="AG270" s="301" t="str">
        <f t="shared" si="33"/>
        <v/>
      </c>
      <c r="AH270" s="457"/>
    </row>
    <row r="271" spans="11:34" ht="15.75" hidden="1" x14ac:dyDescent="0.25">
      <c r="K271" s="301" t="str">
        <f>IF(ISERROR(RANK(L271,$L$23:$L$473,1)+COUNTIF($L$23:L271,L271)-1)=TRUE,"",RANK(L271,$L$23:$L$473,1)+COUNTIF($L$23:L271,L271)-1)</f>
        <v/>
      </c>
      <c r="L271" s="301" t="str">
        <f t="shared" si="34"/>
        <v/>
      </c>
      <c r="M271" s="301" t="str">
        <f>IF(AND('FT Fee (Franchise)'!I106="Yes"),VLOOKUP('Fee Summary'!A101,'FT Fee (Franchise)'!$A$19:$J$168,2,FALSE),"")</f>
        <v/>
      </c>
      <c r="N271" s="301" t="b">
        <f>IF(AND('FT Fee (Franchise)'!I106="Yes"),IF(VLOOKUP('Fee Summary'!A101,'FT Fee (Franchise)'!$A$19:$J$168,4,FALSE)="",VLOOKUP(A101,'FT Fee (Franchise)'!A106:J255,3,FALSE),CONCATENATE(VLOOKUP(A101,'FT Fee (Franchise)'!A106:J255,3,FALSE)," - ",VLOOKUP('Fee Summary'!A101,'FT Fee (Franchise)'!$A$19:$J$168,4,FALSE))))</f>
        <v>0</v>
      </c>
      <c r="O271" s="301" t="str">
        <f>IF(AND('FT Fee (Franchise)'!I106="Yes"),VLOOKUP('Fee Summary'!A101,'FT Fee (Franchise)'!$A$19:$J$168,10,FALSE),"")</f>
        <v/>
      </c>
      <c r="P271" s="301" t="str">
        <f>IF(VLOOKUP(A101,'FT Fee (Franchise)'!A106:K255,3,FALSE)=0,"",VLOOKUP(A101,'FT Fee (Franchise)'!A106:K255,3,FALSE))</f>
        <v/>
      </c>
      <c r="AG271" s="301" t="str">
        <f t="shared" si="33"/>
        <v/>
      </c>
      <c r="AH271" s="457"/>
    </row>
    <row r="272" spans="11:34" ht="15.75" hidden="1" x14ac:dyDescent="0.25">
      <c r="K272" s="301" t="str">
        <f>IF(ISERROR(RANK(L272,$L$23:$L$473,1)+COUNTIF($L$23:L272,L272)-1)=TRUE,"",RANK(L272,$L$23:$L$473,1)+COUNTIF($L$23:L272,L272)-1)</f>
        <v/>
      </c>
      <c r="L272" s="301" t="str">
        <f t="shared" si="34"/>
        <v/>
      </c>
      <c r="M272" s="301" t="str">
        <f>IF(AND('FT Fee (Franchise)'!I107="Yes"),VLOOKUP('Fee Summary'!A102,'FT Fee (Franchise)'!$A$19:$J$168,2,FALSE),"")</f>
        <v/>
      </c>
      <c r="N272" s="301" t="b">
        <f>IF(AND('FT Fee (Franchise)'!I107="Yes"),IF(VLOOKUP('Fee Summary'!A102,'FT Fee (Franchise)'!$A$19:$J$168,4,FALSE)="",VLOOKUP(A102,'FT Fee (Franchise)'!A107:J256,3,FALSE),CONCATENATE(VLOOKUP(A102,'FT Fee (Franchise)'!A107:J256,3,FALSE)," - ",VLOOKUP('Fee Summary'!A102,'FT Fee (Franchise)'!$A$19:$J$168,4,FALSE))))</f>
        <v>0</v>
      </c>
      <c r="O272" s="301" t="str">
        <f>IF(AND('FT Fee (Franchise)'!I107="Yes"),VLOOKUP('Fee Summary'!A102,'FT Fee (Franchise)'!$A$19:$J$168,10,FALSE),"")</f>
        <v/>
      </c>
      <c r="P272" s="301" t="str">
        <f>IF(VLOOKUP(A102,'FT Fee (Franchise)'!A107:K256,3,FALSE)=0,"",VLOOKUP(A102,'FT Fee (Franchise)'!A107:K256,3,FALSE))</f>
        <v/>
      </c>
      <c r="AH272" s="457"/>
    </row>
    <row r="273" spans="11:34" ht="15.75" hidden="1" x14ac:dyDescent="0.25">
      <c r="K273" s="301" t="str">
        <f>IF(ISERROR(RANK(L273,$L$23:$L$473,1)+COUNTIF($L$23:L273,L273)-1)=TRUE,"",RANK(L273,$L$23:$L$473,1)+COUNTIF($L$23:L273,L273)-1)</f>
        <v/>
      </c>
      <c r="L273" s="301" t="str">
        <f t="shared" si="34"/>
        <v/>
      </c>
      <c r="M273" s="301" t="str">
        <f>IF(AND('FT Fee (Franchise)'!I108="Yes"),VLOOKUP('Fee Summary'!A103,'FT Fee (Franchise)'!$A$19:$J$168,2,FALSE),"")</f>
        <v/>
      </c>
      <c r="N273" s="301" t="b">
        <f>IF(AND('FT Fee (Franchise)'!I108="Yes"),IF(VLOOKUP('Fee Summary'!A103,'FT Fee (Franchise)'!$A$19:$J$168,4,FALSE)="",VLOOKUP(A103,'FT Fee (Franchise)'!A108:J257,3,FALSE),CONCATENATE(VLOOKUP(A103,'FT Fee (Franchise)'!A108:J257,3,FALSE)," - ",VLOOKUP('Fee Summary'!A103,'FT Fee (Franchise)'!$A$19:$J$168,4,FALSE))))</f>
        <v>0</v>
      </c>
      <c r="O273" s="301" t="str">
        <f>IF(AND('FT Fee (Franchise)'!I108="Yes"),VLOOKUP('Fee Summary'!A103,'FT Fee (Franchise)'!$A$19:$J$168,10,FALSE),"")</f>
        <v/>
      </c>
      <c r="P273" s="301" t="str">
        <f>IF(VLOOKUP(A103,'FT Fee (Franchise)'!A108:K257,3,FALSE)=0,"",VLOOKUP(A103,'FT Fee (Franchise)'!A108:K257,3,FALSE))</f>
        <v/>
      </c>
      <c r="AH273" s="457"/>
    </row>
    <row r="274" spans="11:34" ht="15.75" hidden="1" x14ac:dyDescent="0.25">
      <c r="K274" s="301" t="str">
        <f>IF(ISERROR(RANK(L274,$L$23:$L$473,1)+COUNTIF($L$23:L274,L274)-1)=TRUE,"",RANK(L274,$L$23:$L$473,1)+COUNTIF($L$23:L274,L274)-1)</f>
        <v/>
      </c>
      <c r="L274" s="301" t="str">
        <f t="shared" si="34"/>
        <v/>
      </c>
      <c r="M274" s="301" t="str">
        <f>IF(AND('FT Fee (Franchise)'!I109="Yes"),VLOOKUP('Fee Summary'!A104,'FT Fee (Franchise)'!$A$19:$J$168,2,FALSE),"")</f>
        <v/>
      </c>
      <c r="N274" s="301" t="b">
        <f>IF(AND('FT Fee (Franchise)'!I109="Yes"),IF(VLOOKUP('Fee Summary'!A104,'FT Fee (Franchise)'!$A$19:$J$168,4,FALSE)="",VLOOKUP(A104,'FT Fee (Franchise)'!A109:J258,3,FALSE),CONCATENATE(VLOOKUP(A104,'FT Fee (Franchise)'!A109:J258,3,FALSE)," - ",VLOOKUP('Fee Summary'!A104,'FT Fee (Franchise)'!$A$19:$J$168,4,FALSE))))</f>
        <v>0</v>
      </c>
      <c r="O274" s="301" t="str">
        <f>IF(AND('FT Fee (Franchise)'!I109="Yes"),VLOOKUP('Fee Summary'!A104,'FT Fee (Franchise)'!$A$19:$J$168,10,FALSE),"")</f>
        <v/>
      </c>
      <c r="P274" s="301" t="str">
        <f>IF(VLOOKUP(A104,'FT Fee (Franchise)'!A109:K258,3,FALSE)=0,"",VLOOKUP(A104,'FT Fee (Franchise)'!A109:K258,3,FALSE))</f>
        <v/>
      </c>
      <c r="AH274" s="457"/>
    </row>
    <row r="275" spans="11:34" ht="15.75" hidden="1" x14ac:dyDescent="0.25">
      <c r="K275" s="301" t="str">
        <f>IF(ISERROR(RANK(L275,$L$23:$L$473,1)+COUNTIF($L$23:L275,L275)-1)=TRUE,"",RANK(L275,$L$23:$L$473,1)+COUNTIF($L$23:L275,L275)-1)</f>
        <v/>
      </c>
      <c r="L275" s="301" t="str">
        <f t="shared" si="34"/>
        <v/>
      </c>
      <c r="M275" s="301" t="str">
        <f>IF(AND('FT Fee (Franchise)'!I110="Yes"),VLOOKUP('Fee Summary'!A105,'FT Fee (Franchise)'!$A$19:$J$168,2,FALSE),"")</f>
        <v/>
      </c>
      <c r="N275" s="301" t="b">
        <f>IF(AND('FT Fee (Franchise)'!I110="Yes"),IF(VLOOKUP('Fee Summary'!A105,'FT Fee (Franchise)'!$A$19:$J$168,4,FALSE)="",VLOOKUP(A105,'FT Fee (Franchise)'!A110:J259,3,FALSE),CONCATENATE(VLOOKUP(A105,'FT Fee (Franchise)'!A110:J259,3,FALSE)," - ",VLOOKUP('Fee Summary'!A105,'FT Fee (Franchise)'!$A$19:$J$168,4,FALSE))))</f>
        <v>0</v>
      </c>
      <c r="O275" s="301" t="str">
        <f>IF(AND('FT Fee (Franchise)'!I110="Yes"),VLOOKUP('Fee Summary'!A105,'FT Fee (Franchise)'!$A$19:$J$168,10,FALSE),"")</f>
        <v/>
      </c>
      <c r="P275" s="301" t="str">
        <f>IF(VLOOKUP(A105,'FT Fee (Franchise)'!A110:K259,3,FALSE)=0,"",VLOOKUP(A105,'FT Fee (Franchise)'!A110:K259,3,FALSE))</f>
        <v/>
      </c>
      <c r="AH275" s="457"/>
    </row>
    <row r="276" spans="11:34" ht="15.75" hidden="1" x14ac:dyDescent="0.25">
      <c r="K276" s="301" t="str">
        <f>IF(ISERROR(RANK(L276,$L$23:$L$473,1)+COUNTIF($L$23:L276,L276)-1)=TRUE,"",RANK(L276,$L$23:$L$473,1)+COUNTIF($L$23:L276,L276)-1)</f>
        <v/>
      </c>
      <c r="L276" s="301" t="str">
        <f t="shared" si="34"/>
        <v/>
      </c>
      <c r="M276" s="301" t="str">
        <f>IF(AND('FT Fee (Franchise)'!I111="Yes"),VLOOKUP('Fee Summary'!A106,'FT Fee (Franchise)'!$A$19:$J$168,2,FALSE),"")</f>
        <v/>
      </c>
      <c r="N276" s="301" t="b">
        <f>IF(AND('FT Fee (Franchise)'!I111="Yes"),IF(VLOOKUP('Fee Summary'!A106,'FT Fee (Franchise)'!$A$19:$J$168,4,FALSE)="",VLOOKUP(A106,'FT Fee (Franchise)'!A111:J260,3,FALSE),CONCATENATE(VLOOKUP(A106,'FT Fee (Franchise)'!A111:J260,3,FALSE)," - ",VLOOKUP('Fee Summary'!A106,'FT Fee (Franchise)'!$A$19:$J$168,4,FALSE))))</f>
        <v>0</v>
      </c>
      <c r="O276" s="301" t="str">
        <f>IF(AND('FT Fee (Franchise)'!I111="Yes"),VLOOKUP('Fee Summary'!A106,'FT Fee (Franchise)'!$A$19:$J$168,10,FALSE),"")</f>
        <v/>
      </c>
      <c r="P276" s="301" t="str">
        <f>IF(VLOOKUP(A106,'FT Fee (Franchise)'!A111:K260,3,FALSE)=0,"",VLOOKUP(A106,'FT Fee (Franchise)'!A111:K260,3,FALSE))</f>
        <v/>
      </c>
      <c r="AH276" s="457"/>
    </row>
    <row r="277" spans="11:34" ht="15.75" hidden="1" x14ac:dyDescent="0.25">
      <c r="K277" s="301" t="str">
        <f>IF(ISERROR(RANK(L277,$L$23:$L$473,1)+COUNTIF($L$23:L277,L277)-1)=TRUE,"",RANK(L277,$L$23:$L$473,1)+COUNTIF($L$23:L277,L277)-1)</f>
        <v/>
      </c>
      <c r="L277" s="301" t="str">
        <f t="shared" si="34"/>
        <v/>
      </c>
      <c r="M277" s="301" t="str">
        <f>IF(AND('FT Fee (Franchise)'!I112="Yes"),VLOOKUP('Fee Summary'!A107,'FT Fee (Franchise)'!$A$19:$J$168,2,FALSE),"")</f>
        <v/>
      </c>
      <c r="N277" s="301" t="b">
        <f>IF(AND('FT Fee (Franchise)'!I112="Yes"),IF(VLOOKUP('Fee Summary'!A107,'FT Fee (Franchise)'!$A$19:$J$168,4,FALSE)="",VLOOKUP(A107,'FT Fee (Franchise)'!A112:J261,3,FALSE),CONCATENATE(VLOOKUP(A107,'FT Fee (Franchise)'!A112:J261,3,FALSE)," - ",VLOOKUP('Fee Summary'!A107,'FT Fee (Franchise)'!$A$19:$J$168,4,FALSE))))</f>
        <v>0</v>
      </c>
      <c r="O277" s="301" t="str">
        <f>IF(AND('FT Fee (Franchise)'!I112="Yes"),VLOOKUP('Fee Summary'!A107,'FT Fee (Franchise)'!$A$19:$J$168,10,FALSE),"")</f>
        <v/>
      </c>
      <c r="P277" s="301" t="str">
        <f>IF(VLOOKUP(A107,'FT Fee (Franchise)'!A112:K261,3,FALSE)=0,"",VLOOKUP(A107,'FT Fee (Franchise)'!A112:K261,3,FALSE))</f>
        <v/>
      </c>
      <c r="AH277" s="457"/>
    </row>
    <row r="278" spans="11:34" ht="15.75" hidden="1" x14ac:dyDescent="0.25">
      <c r="K278" s="301" t="str">
        <f>IF(ISERROR(RANK(L278,$L$23:$L$473,1)+COUNTIF($L$23:L278,L278)-1)=TRUE,"",RANK(L278,$L$23:$L$473,1)+COUNTIF($L$23:L278,L278)-1)</f>
        <v/>
      </c>
      <c r="L278" s="301" t="str">
        <f t="shared" si="34"/>
        <v/>
      </c>
      <c r="M278" s="301" t="str">
        <f>IF(AND('FT Fee (Franchise)'!I113="Yes"),VLOOKUP('Fee Summary'!A108,'FT Fee (Franchise)'!$A$19:$J$168,2,FALSE),"")</f>
        <v/>
      </c>
      <c r="N278" s="301" t="b">
        <f>IF(AND('FT Fee (Franchise)'!I113="Yes"),IF(VLOOKUP('Fee Summary'!A108,'FT Fee (Franchise)'!$A$19:$J$168,4,FALSE)="",VLOOKUP(A108,'FT Fee (Franchise)'!A113:J262,3,FALSE),CONCATENATE(VLOOKUP(A108,'FT Fee (Franchise)'!A113:J262,3,FALSE)," - ",VLOOKUP('Fee Summary'!A108,'FT Fee (Franchise)'!$A$19:$J$168,4,FALSE))))</f>
        <v>0</v>
      </c>
      <c r="O278" s="301" t="str">
        <f>IF(AND('FT Fee (Franchise)'!I113="Yes"),VLOOKUP('Fee Summary'!A108,'FT Fee (Franchise)'!$A$19:$J$168,10,FALSE),"")</f>
        <v/>
      </c>
      <c r="P278" s="301" t="str">
        <f>IF(VLOOKUP(A108,'FT Fee (Franchise)'!A113:K262,3,FALSE)=0,"",VLOOKUP(A108,'FT Fee (Franchise)'!A113:K262,3,FALSE))</f>
        <v/>
      </c>
      <c r="AH278" s="457"/>
    </row>
    <row r="279" spans="11:34" ht="15.75" hidden="1" x14ac:dyDescent="0.25">
      <c r="K279" s="301" t="str">
        <f>IF(ISERROR(RANK(L279,$L$23:$L$473,1)+COUNTIF($L$23:L279,L279)-1)=TRUE,"",RANK(L279,$L$23:$L$473,1)+COUNTIF($L$23:L279,L279)-1)</f>
        <v/>
      </c>
      <c r="L279" s="301" t="str">
        <f t="shared" si="34"/>
        <v/>
      </c>
      <c r="M279" s="301" t="str">
        <f>IF(AND('FT Fee (Franchise)'!I114="Yes"),VLOOKUP('Fee Summary'!A109,'FT Fee (Franchise)'!$A$19:$J$168,2,FALSE),"")</f>
        <v/>
      </c>
      <c r="N279" s="301" t="b">
        <f>IF(AND('FT Fee (Franchise)'!I114="Yes"),IF(VLOOKUP('Fee Summary'!A109,'FT Fee (Franchise)'!$A$19:$J$168,4,FALSE)="",VLOOKUP(A109,'FT Fee (Franchise)'!A114:J263,3,FALSE),CONCATENATE(VLOOKUP(A109,'FT Fee (Franchise)'!A114:J263,3,FALSE)," - ",VLOOKUP('Fee Summary'!A109,'FT Fee (Franchise)'!$A$19:$J$168,4,FALSE))))</f>
        <v>0</v>
      </c>
      <c r="O279" s="301" t="str">
        <f>IF(AND('FT Fee (Franchise)'!I114="Yes"),VLOOKUP('Fee Summary'!A109,'FT Fee (Franchise)'!$A$19:$J$168,10,FALSE),"")</f>
        <v/>
      </c>
      <c r="P279" s="301" t="str">
        <f>IF(VLOOKUP(A109,'FT Fee (Franchise)'!A114:K263,3,FALSE)=0,"",VLOOKUP(A109,'FT Fee (Franchise)'!A114:K263,3,FALSE))</f>
        <v/>
      </c>
      <c r="AH279" s="457"/>
    </row>
    <row r="280" spans="11:34" ht="15.75" hidden="1" x14ac:dyDescent="0.25">
      <c r="K280" s="301" t="str">
        <f>IF(ISERROR(RANK(L280,$L$23:$L$473,1)+COUNTIF($L$23:L280,L280)-1)=TRUE,"",RANK(L280,$L$23:$L$473,1)+COUNTIF($L$23:L280,L280)-1)</f>
        <v/>
      </c>
      <c r="L280" s="301" t="str">
        <f t="shared" si="34"/>
        <v/>
      </c>
      <c r="M280" s="301" t="str">
        <f>IF(AND('FT Fee (Franchise)'!I115="Yes"),VLOOKUP('Fee Summary'!A110,'FT Fee (Franchise)'!$A$19:$J$168,2,FALSE),"")</f>
        <v/>
      </c>
      <c r="N280" s="301" t="b">
        <f>IF(AND('FT Fee (Franchise)'!I115="Yes"),IF(VLOOKUP('Fee Summary'!A110,'FT Fee (Franchise)'!$A$19:$J$168,4,FALSE)="",VLOOKUP(A110,'FT Fee (Franchise)'!A115:J264,3,FALSE),CONCATENATE(VLOOKUP(A110,'FT Fee (Franchise)'!A115:J264,3,FALSE)," - ",VLOOKUP('Fee Summary'!A110,'FT Fee (Franchise)'!$A$19:$J$168,4,FALSE))))</f>
        <v>0</v>
      </c>
      <c r="O280" s="301" t="str">
        <f>IF(AND('FT Fee (Franchise)'!I115="Yes"),VLOOKUP('Fee Summary'!A110,'FT Fee (Franchise)'!$A$19:$J$168,10,FALSE),"")</f>
        <v/>
      </c>
      <c r="P280" s="301" t="str">
        <f>IF(VLOOKUP(A110,'FT Fee (Franchise)'!A115:K264,3,FALSE)=0,"",VLOOKUP(A110,'FT Fee (Franchise)'!A115:K264,3,FALSE))</f>
        <v/>
      </c>
      <c r="AH280" s="457"/>
    </row>
    <row r="281" spans="11:34" ht="15.75" hidden="1" x14ac:dyDescent="0.25">
      <c r="K281" s="301" t="str">
        <f>IF(ISERROR(RANK(L281,$L$23:$L$473,1)+COUNTIF($L$23:L281,L281)-1)=TRUE,"",RANK(L281,$L$23:$L$473,1)+COUNTIF($L$23:L281,L281)-1)</f>
        <v/>
      </c>
      <c r="L281" s="301" t="str">
        <f t="shared" ref="L281:L312" si="35">IF(ISERROR(VLOOKUP(M281,$AA$10:$AA$21,1,FALSE))=TRUE,"",IF(VLOOKUP(M281,$AA$10:$AC$21,2,FALSE)="",VLOOKUP(P281,$AH$11:$AI$160,2,FALSE),VLOOKUP(M281,$AA$10:$AC$21,2,FALSE)))</f>
        <v/>
      </c>
      <c r="M281" s="301" t="str">
        <f>IF(AND('FT Fee (Franchise)'!I116="Yes"),VLOOKUP('Fee Summary'!A111,'FT Fee (Franchise)'!$A$19:$J$168,2,FALSE),"")</f>
        <v/>
      </c>
      <c r="N281" s="301" t="b">
        <f>IF(AND('FT Fee (Franchise)'!I116="Yes"),IF(VLOOKUP('Fee Summary'!A111,'FT Fee (Franchise)'!$A$19:$J$168,4,FALSE)="",VLOOKUP(A111,'FT Fee (Franchise)'!A116:J265,3,FALSE),CONCATENATE(VLOOKUP(A111,'FT Fee (Franchise)'!A116:J265,3,FALSE)," - ",VLOOKUP('Fee Summary'!A111,'FT Fee (Franchise)'!$A$19:$J$168,4,FALSE))))</f>
        <v>0</v>
      </c>
      <c r="O281" s="301" t="str">
        <f>IF(AND('FT Fee (Franchise)'!I116="Yes"),VLOOKUP('Fee Summary'!A111,'FT Fee (Franchise)'!$A$19:$J$168,10,FALSE),"")</f>
        <v/>
      </c>
      <c r="P281" s="301" t="str">
        <f>IF(VLOOKUP(A111,'FT Fee (Franchise)'!A116:K265,3,FALSE)=0,"",VLOOKUP(A111,'FT Fee (Franchise)'!A116:K265,3,FALSE))</f>
        <v/>
      </c>
      <c r="AH281" s="457"/>
    </row>
    <row r="282" spans="11:34" ht="15.75" hidden="1" x14ac:dyDescent="0.25">
      <c r="K282" s="301" t="str">
        <f>IF(ISERROR(RANK(L282,$L$23:$L$473,1)+COUNTIF($L$23:L282,L282)-1)=TRUE,"",RANK(L282,$L$23:$L$473,1)+COUNTIF($L$23:L282,L282)-1)</f>
        <v/>
      </c>
      <c r="L282" s="301" t="str">
        <f t="shared" si="35"/>
        <v/>
      </c>
      <c r="M282" s="301" t="str">
        <f>IF(AND('FT Fee (Franchise)'!I117="Yes"),VLOOKUP('Fee Summary'!A112,'FT Fee (Franchise)'!$A$19:$J$168,2,FALSE),"")</f>
        <v/>
      </c>
      <c r="N282" s="301" t="b">
        <f>IF(AND('FT Fee (Franchise)'!I117="Yes"),IF(VLOOKUP('Fee Summary'!A112,'FT Fee (Franchise)'!$A$19:$J$168,4,FALSE)="",VLOOKUP(A112,'FT Fee (Franchise)'!A117:J266,3,FALSE),CONCATENATE(VLOOKUP(A112,'FT Fee (Franchise)'!A117:J266,3,FALSE)," - ",VLOOKUP('Fee Summary'!A112,'FT Fee (Franchise)'!$A$19:$J$168,4,FALSE))))</f>
        <v>0</v>
      </c>
      <c r="O282" s="301" t="str">
        <f>IF(AND('FT Fee (Franchise)'!I117="Yes"),VLOOKUP('Fee Summary'!A112,'FT Fee (Franchise)'!$A$19:$J$168,10,FALSE),"")</f>
        <v/>
      </c>
      <c r="P282" s="301" t="str">
        <f>IF(VLOOKUP(A112,'FT Fee (Franchise)'!A117:K266,3,FALSE)=0,"",VLOOKUP(A112,'FT Fee (Franchise)'!A117:K266,3,FALSE))</f>
        <v/>
      </c>
      <c r="AH282" s="457"/>
    </row>
    <row r="283" spans="11:34" ht="15.75" hidden="1" x14ac:dyDescent="0.25">
      <c r="K283" s="301" t="str">
        <f>IF(ISERROR(RANK(L283,$L$23:$L$473,1)+COUNTIF($L$23:L283,L283)-1)=TRUE,"",RANK(L283,$L$23:$L$473,1)+COUNTIF($L$23:L283,L283)-1)</f>
        <v/>
      </c>
      <c r="L283" s="301" t="str">
        <f t="shared" si="35"/>
        <v/>
      </c>
      <c r="M283" s="301" t="str">
        <f>IF(AND('FT Fee (Franchise)'!I118="Yes"),VLOOKUP('Fee Summary'!A113,'FT Fee (Franchise)'!$A$19:$J$168,2,FALSE),"")</f>
        <v/>
      </c>
      <c r="N283" s="301" t="b">
        <f>IF(AND('FT Fee (Franchise)'!I118="Yes"),IF(VLOOKUP('Fee Summary'!A113,'FT Fee (Franchise)'!$A$19:$J$168,4,FALSE)="",VLOOKUP(A113,'FT Fee (Franchise)'!A118:J267,3,FALSE),CONCATENATE(VLOOKUP(A113,'FT Fee (Franchise)'!A118:J267,3,FALSE)," - ",VLOOKUP('Fee Summary'!A113,'FT Fee (Franchise)'!$A$19:$J$168,4,FALSE))))</f>
        <v>0</v>
      </c>
      <c r="O283" s="301" t="str">
        <f>IF(AND('FT Fee (Franchise)'!I118="Yes"),VLOOKUP('Fee Summary'!A113,'FT Fee (Franchise)'!$A$19:$J$168,10,FALSE),"")</f>
        <v/>
      </c>
      <c r="P283" s="301" t="str">
        <f>IF(VLOOKUP(A113,'FT Fee (Franchise)'!A118:K267,3,FALSE)=0,"",VLOOKUP(A113,'FT Fee (Franchise)'!A118:K267,3,FALSE))</f>
        <v/>
      </c>
      <c r="AH283" s="457"/>
    </row>
    <row r="284" spans="11:34" ht="15.75" hidden="1" x14ac:dyDescent="0.25">
      <c r="K284" s="301" t="str">
        <f>IF(ISERROR(RANK(L284,$L$23:$L$473,1)+COUNTIF($L$23:L284,L284)-1)=TRUE,"",RANK(L284,$L$23:$L$473,1)+COUNTIF($L$23:L284,L284)-1)</f>
        <v/>
      </c>
      <c r="L284" s="301" t="str">
        <f t="shared" si="35"/>
        <v/>
      </c>
      <c r="M284" s="301" t="str">
        <f>IF(AND('FT Fee (Franchise)'!I119="Yes"),VLOOKUP('Fee Summary'!A114,'FT Fee (Franchise)'!$A$19:$J$168,2,FALSE),"")</f>
        <v/>
      </c>
      <c r="N284" s="301" t="b">
        <f>IF(AND('FT Fee (Franchise)'!I119="Yes"),IF(VLOOKUP('Fee Summary'!A114,'FT Fee (Franchise)'!$A$19:$J$168,4,FALSE)="",VLOOKUP(A114,'FT Fee (Franchise)'!A119:J268,3,FALSE),CONCATENATE(VLOOKUP(A114,'FT Fee (Franchise)'!A119:J268,3,FALSE)," - ",VLOOKUP('Fee Summary'!A114,'FT Fee (Franchise)'!$A$19:$J$168,4,FALSE))))</f>
        <v>0</v>
      </c>
      <c r="O284" s="301" t="str">
        <f>IF(AND('FT Fee (Franchise)'!I119="Yes"),VLOOKUP('Fee Summary'!A114,'FT Fee (Franchise)'!$A$19:$J$168,10,FALSE),"")</f>
        <v/>
      </c>
      <c r="P284" s="301" t="str">
        <f>IF(VLOOKUP(A114,'FT Fee (Franchise)'!A119:K268,3,FALSE)=0,"",VLOOKUP(A114,'FT Fee (Franchise)'!A119:K268,3,FALSE))</f>
        <v/>
      </c>
      <c r="AH284" s="457"/>
    </row>
    <row r="285" spans="11:34" ht="15.75" hidden="1" x14ac:dyDescent="0.25">
      <c r="K285" s="301" t="str">
        <f>IF(ISERROR(RANK(L285,$L$23:$L$473,1)+COUNTIF($L$23:L285,L285)-1)=TRUE,"",RANK(L285,$L$23:$L$473,1)+COUNTIF($L$23:L285,L285)-1)</f>
        <v/>
      </c>
      <c r="L285" s="301" t="str">
        <f t="shared" si="35"/>
        <v/>
      </c>
      <c r="M285" s="301" t="str">
        <f>IF(AND('FT Fee (Franchise)'!I120="Yes"),VLOOKUP('Fee Summary'!A115,'FT Fee (Franchise)'!$A$19:$J$168,2,FALSE),"")</f>
        <v/>
      </c>
      <c r="N285" s="301" t="b">
        <f>IF(AND('FT Fee (Franchise)'!I120="Yes"),IF(VLOOKUP('Fee Summary'!A115,'FT Fee (Franchise)'!$A$19:$J$168,4,FALSE)="",VLOOKUP(A115,'FT Fee (Franchise)'!A120:J269,3,FALSE),CONCATENATE(VLOOKUP(A115,'FT Fee (Franchise)'!A120:J269,3,FALSE)," - ",VLOOKUP('Fee Summary'!A115,'FT Fee (Franchise)'!$A$19:$J$168,4,FALSE))))</f>
        <v>0</v>
      </c>
      <c r="O285" s="301" t="str">
        <f>IF(AND('FT Fee (Franchise)'!I120="Yes"),VLOOKUP('Fee Summary'!A115,'FT Fee (Franchise)'!$A$19:$J$168,10,FALSE),"")</f>
        <v/>
      </c>
      <c r="P285" s="301" t="str">
        <f>IF(VLOOKUP(A115,'FT Fee (Franchise)'!A120:K269,3,FALSE)=0,"",VLOOKUP(A115,'FT Fee (Franchise)'!A120:K269,3,FALSE))</f>
        <v/>
      </c>
      <c r="AH285" s="457"/>
    </row>
    <row r="286" spans="11:34" ht="15.75" hidden="1" x14ac:dyDescent="0.25">
      <c r="K286" s="301" t="str">
        <f>IF(ISERROR(RANK(L286,$L$23:$L$473,1)+COUNTIF($L$23:L286,L286)-1)=TRUE,"",RANK(L286,$L$23:$L$473,1)+COUNTIF($L$23:L286,L286)-1)</f>
        <v/>
      </c>
      <c r="L286" s="301" t="str">
        <f t="shared" si="35"/>
        <v/>
      </c>
      <c r="M286" s="301" t="str">
        <f>IF(AND('FT Fee (Franchise)'!I121="Yes"),VLOOKUP('Fee Summary'!A116,'FT Fee (Franchise)'!$A$19:$J$168,2,FALSE),"")</f>
        <v/>
      </c>
      <c r="N286" s="301" t="b">
        <f>IF(AND('FT Fee (Franchise)'!I121="Yes"),IF(VLOOKUP('Fee Summary'!A116,'FT Fee (Franchise)'!$A$19:$J$168,4,FALSE)="",VLOOKUP(A116,'FT Fee (Franchise)'!A121:J270,3,FALSE),CONCATENATE(VLOOKUP(A116,'FT Fee (Franchise)'!A121:J270,3,FALSE)," - ",VLOOKUP('Fee Summary'!A116,'FT Fee (Franchise)'!$A$19:$J$168,4,FALSE))))</f>
        <v>0</v>
      </c>
      <c r="O286" s="301" t="str">
        <f>IF(AND('FT Fee (Franchise)'!I121="Yes"),VLOOKUP('Fee Summary'!A116,'FT Fee (Franchise)'!$A$19:$J$168,10,FALSE),"")</f>
        <v/>
      </c>
      <c r="P286" s="301" t="str">
        <f>IF(VLOOKUP(A116,'FT Fee (Franchise)'!A121:K270,3,FALSE)=0,"",VLOOKUP(A116,'FT Fee (Franchise)'!A121:K270,3,FALSE))</f>
        <v/>
      </c>
      <c r="AH286" s="457"/>
    </row>
    <row r="287" spans="11:34" ht="15.75" hidden="1" x14ac:dyDescent="0.25">
      <c r="K287" s="301" t="str">
        <f>IF(ISERROR(RANK(L287,$L$23:$L$473,1)+COUNTIF($L$23:L287,L287)-1)=TRUE,"",RANK(L287,$L$23:$L$473,1)+COUNTIF($L$23:L287,L287)-1)</f>
        <v/>
      </c>
      <c r="L287" s="301" t="str">
        <f t="shared" si="35"/>
        <v/>
      </c>
      <c r="M287" s="301" t="str">
        <f>IF(AND('FT Fee (Franchise)'!I122="Yes"),VLOOKUP('Fee Summary'!A117,'FT Fee (Franchise)'!$A$19:$J$168,2,FALSE),"")</f>
        <v/>
      </c>
      <c r="N287" s="301" t="b">
        <f>IF(AND('FT Fee (Franchise)'!I122="Yes"),IF(VLOOKUP('Fee Summary'!A117,'FT Fee (Franchise)'!$A$19:$J$168,4,FALSE)="",VLOOKUP(A117,'FT Fee (Franchise)'!A122:J271,3,FALSE),CONCATENATE(VLOOKUP(A117,'FT Fee (Franchise)'!A122:J271,3,FALSE)," - ",VLOOKUP('Fee Summary'!A117,'FT Fee (Franchise)'!$A$19:$J$168,4,FALSE))))</f>
        <v>0</v>
      </c>
      <c r="O287" s="301" t="str">
        <f>IF(AND('FT Fee (Franchise)'!I122="Yes"),VLOOKUP('Fee Summary'!A117,'FT Fee (Franchise)'!$A$19:$J$168,10,FALSE),"")</f>
        <v/>
      </c>
      <c r="P287" s="301" t="str">
        <f>IF(VLOOKUP(A117,'FT Fee (Franchise)'!A122:K271,3,FALSE)=0,"",VLOOKUP(A117,'FT Fee (Franchise)'!A122:K271,3,FALSE))</f>
        <v/>
      </c>
      <c r="AH287" s="457"/>
    </row>
    <row r="288" spans="11:34" ht="15.75" hidden="1" x14ac:dyDescent="0.25">
      <c r="K288" s="301" t="str">
        <f>IF(ISERROR(RANK(L288,$L$23:$L$473,1)+COUNTIF($L$23:L288,L288)-1)=TRUE,"",RANK(L288,$L$23:$L$473,1)+COUNTIF($L$23:L288,L288)-1)</f>
        <v/>
      </c>
      <c r="L288" s="301" t="str">
        <f t="shared" si="35"/>
        <v/>
      </c>
      <c r="M288" s="301" t="str">
        <f>IF(AND('FT Fee (Franchise)'!I123="Yes"),VLOOKUP('Fee Summary'!A118,'FT Fee (Franchise)'!$A$19:$J$168,2,FALSE),"")</f>
        <v/>
      </c>
      <c r="N288" s="301" t="b">
        <f>IF(AND('FT Fee (Franchise)'!I123="Yes"),IF(VLOOKUP('Fee Summary'!A118,'FT Fee (Franchise)'!$A$19:$J$168,4,FALSE)="",VLOOKUP(A118,'FT Fee (Franchise)'!A123:J272,3,FALSE),CONCATENATE(VLOOKUP(A118,'FT Fee (Franchise)'!A123:J272,3,FALSE)," - ",VLOOKUP('Fee Summary'!A118,'FT Fee (Franchise)'!$A$19:$J$168,4,FALSE))))</f>
        <v>0</v>
      </c>
      <c r="O288" s="301" t="str">
        <f>IF(AND('FT Fee (Franchise)'!I123="Yes"),VLOOKUP('Fee Summary'!A118,'FT Fee (Franchise)'!$A$19:$J$168,10,FALSE),"")</f>
        <v/>
      </c>
      <c r="P288" s="301" t="str">
        <f>IF(VLOOKUP(A118,'FT Fee (Franchise)'!A123:K272,3,FALSE)=0,"",VLOOKUP(A118,'FT Fee (Franchise)'!A123:K272,3,FALSE))</f>
        <v/>
      </c>
      <c r="AH288" s="457"/>
    </row>
    <row r="289" spans="11:34" ht="15.75" hidden="1" x14ac:dyDescent="0.25">
      <c r="K289" s="301" t="str">
        <f>IF(ISERROR(RANK(L289,$L$23:$L$473,1)+COUNTIF($L$23:L289,L289)-1)=TRUE,"",RANK(L289,$L$23:$L$473,1)+COUNTIF($L$23:L289,L289)-1)</f>
        <v/>
      </c>
      <c r="L289" s="301" t="str">
        <f t="shared" si="35"/>
        <v/>
      </c>
      <c r="M289" s="301" t="str">
        <f>IF(AND('FT Fee (Franchise)'!I124="Yes"),VLOOKUP('Fee Summary'!A119,'FT Fee (Franchise)'!$A$19:$J$168,2,FALSE),"")</f>
        <v/>
      </c>
      <c r="N289" s="301" t="b">
        <f>IF(AND('FT Fee (Franchise)'!I124="Yes"),IF(VLOOKUP('Fee Summary'!A119,'FT Fee (Franchise)'!$A$19:$J$168,4,FALSE)="",VLOOKUP(A119,'FT Fee (Franchise)'!A124:J273,3,FALSE),CONCATENATE(VLOOKUP(A119,'FT Fee (Franchise)'!A124:J273,3,FALSE)," - ",VLOOKUP('Fee Summary'!A119,'FT Fee (Franchise)'!$A$19:$J$168,4,FALSE))))</f>
        <v>0</v>
      </c>
      <c r="O289" s="301" t="str">
        <f>IF(AND('FT Fee (Franchise)'!I124="Yes"),VLOOKUP('Fee Summary'!A119,'FT Fee (Franchise)'!$A$19:$J$168,10,FALSE),"")</f>
        <v/>
      </c>
      <c r="P289" s="301" t="str">
        <f>IF(VLOOKUP(A119,'FT Fee (Franchise)'!A124:K273,3,FALSE)=0,"",VLOOKUP(A119,'FT Fee (Franchise)'!A124:K273,3,FALSE))</f>
        <v/>
      </c>
      <c r="AH289" s="457"/>
    </row>
    <row r="290" spans="11:34" ht="15.75" hidden="1" x14ac:dyDescent="0.25">
      <c r="K290" s="301" t="str">
        <f>IF(ISERROR(RANK(L290,$L$23:$L$473,1)+COUNTIF($L$23:L290,L290)-1)=TRUE,"",RANK(L290,$L$23:$L$473,1)+COUNTIF($L$23:L290,L290)-1)</f>
        <v/>
      </c>
      <c r="L290" s="301" t="str">
        <f t="shared" si="35"/>
        <v/>
      </c>
      <c r="M290" s="301" t="str">
        <f>IF(AND('FT Fee (Franchise)'!I125="Yes"),VLOOKUP('Fee Summary'!A120,'FT Fee (Franchise)'!$A$19:$J$168,2,FALSE),"")</f>
        <v/>
      </c>
      <c r="N290" s="301" t="b">
        <f>IF(AND('FT Fee (Franchise)'!I125="Yes"),IF(VLOOKUP('Fee Summary'!A120,'FT Fee (Franchise)'!$A$19:$J$168,4,FALSE)="",VLOOKUP(A120,'FT Fee (Franchise)'!A125:J274,3,FALSE),CONCATENATE(VLOOKUP(A120,'FT Fee (Franchise)'!A125:J274,3,FALSE)," - ",VLOOKUP('Fee Summary'!A120,'FT Fee (Franchise)'!$A$19:$J$168,4,FALSE))))</f>
        <v>0</v>
      </c>
      <c r="O290" s="301" t="str">
        <f>IF(AND('FT Fee (Franchise)'!I125="Yes"),VLOOKUP('Fee Summary'!A120,'FT Fee (Franchise)'!$A$19:$J$168,10,FALSE),"")</f>
        <v/>
      </c>
      <c r="P290" s="301" t="str">
        <f>IF(VLOOKUP(A120,'FT Fee (Franchise)'!A125:K274,3,FALSE)=0,"",VLOOKUP(A120,'FT Fee (Franchise)'!A125:K274,3,FALSE))</f>
        <v/>
      </c>
      <c r="AH290" s="457"/>
    </row>
    <row r="291" spans="11:34" ht="15.75" hidden="1" x14ac:dyDescent="0.25">
      <c r="K291" s="301" t="str">
        <f>IF(ISERROR(RANK(L291,$L$23:$L$473,1)+COUNTIF($L$23:L291,L291)-1)=TRUE,"",RANK(L291,$L$23:$L$473,1)+COUNTIF($L$23:L291,L291)-1)</f>
        <v/>
      </c>
      <c r="L291" s="301" t="str">
        <f t="shared" si="35"/>
        <v/>
      </c>
      <c r="M291" s="301" t="str">
        <f>IF(AND('FT Fee (Franchise)'!I126="Yes"),VLOOKUP('Fee Summary'!A121,'FT Fee (Franchise)'!$A$19:$J$168,2,FALSE),"")</f>
        <v/>
      </c>
      <c r="N291" s="301" t="b">
        <f>IF(AND('FT Fee (Franchise)'!I126="Yes"),IF(VLOOKUP('Fee Summary'!A121,'FT Fee (Franchise)'!$A$19:$J$168,4,FALSE)="",VLOOKUP(A121,'FT Fee (Franchise)'!A126:J275,3,FALSE),CONCATENATE(VLOOKUP(A121,'FT Fee (Franchise)'!A126:J275,3,FALSE)," - ",VLOOKUP('Fee Summary'!A121,'FT Fee (Franchise)'!$A$19:$J$168,4,FALSE))))</f>
        <v>0</v>
      </c>
      <c r="O291" s="301" t="str">
        <f>IF(AND('FT Fee (Franchise)'!I126="Yes"),VLOOKUP('Fee Summary'!A121,'FT Fee (Franchise)'!$A$19:$J$168,10,FALSE),"")</f>
        <v/>
      </c>
      <c r="P291" s="301" t="str">
        <f>IF(VLOOKUP(A121,'FT Fee (Franchise)'!A126:K275,3,FALSE)=0,"",VLOOKUP(A121,'FT Fee (Franchise)'!A126:K275,3,FALSE))</f>
        <v/>
      </c>
      <c r="AH291" s="457"/>
    </row>
    <row r="292" spans="11:34" ht="15.75" hidden="1" x14ac:dyDescent="0.25">
      <c r="K292" s="301" t="str">
        <f>IF(ISERROR(RANK(L292,$L$23:$L$473,1)+COUNTIF($L$23:L292,L292)-1)=TRUE,"",RANK(L292,$L$23:$L$473,1)+COUNTIF($L$23:L292,L292)-1)</f>
        <v/>
      </c>
      <c r="L292" s="301" t="str">
        <f t="shared" si="35"/>
        <v/>
      </c>
      <c r="M292" s="301" t="str">
        <f>IF(AND('FT Fee (Franchise)'!I127="Yes"),VLOOKUP('Fee Summary'!A122,'FT Fee (Franchise)'!$A$19:$J$168,2,FALSE),"")</f>
        <v/>
      </c>
      <c r="N292" s="301" t="b">
        <f>IF(AND('FT Fee (Franchise)'!I127="Yes"),IF(VLOOKUP('Fee Summary'!A122,'FT Fee (Franchise)'!$A$19:$J$168,4,FALSE)="",VLOOKUP(A122,'FT Fee (Franchise)'!A127:J276,3,FALSE),CONCATENATE(VLOOKUP(A122,'FT Fee (Franchise)'!A127:J276,3,FALSE)," - ",VLOOKUP('Fee Summary'!A122,'FT Fee (Franchise)'!$A$19:$J$168,4,FALSE))))</f>
        <v>0</v>
      </c>
      <c r="O292" s="301" t="str">
        <f>IF(AND('FT Fee (Franchise)'!I127="Yes"),VLOOKUP('Fee Summary'!A122,'FT Fee (Franchise)'!$A$19:$J$168,10,FALSE),"")</f>
        <v/>
      </c>
      <c r="P292" s="301" t="str">
        <f>IF(VLOOKUP(A122,'FT Fee (Franchise)'!A127:K276,3,FALSE)=0,"",VLOOKUP(A122,'FT Fee (Franchise)'!A127:K276,3,FALSE))</f>
        <v/>
      </c>
      <c r="AH292" s="457"/>
    </row>
    <row r="293" spans="11:34" ht="15.75" hidden="1" x14ac:dyDescent="0.25">
      <c r="K293" s="301" t="str">
        <f>IF(ISERROR(RANK(L293,$L$23:$L$473,1)+COUNTIF($L$23:L293,L293)-1)=TRUE,"",RANK(L293,$L$23:$L$473,1)+COUNTIF($L$23:L293,L293)-1)</f>
        <v/>
      </c>
      <c r="L293" s="301" t="str">
        <f t="shared" si="35"/>
        <v/>
      </c>
      <c r="M293" s="301" t="str">
        <f>IF(AND('FT Fee (Franchise)'!I128="Yes"),VLOOKUP('Fee Summary'!A123,'FT Fee (Franchise)'!$A$19:$J$168,2,FALSE),"")</f>
        <v/>
      </c>
      <c r="N293" s="301" t="b">
        <f>IF(AND('FT Fee (Franchise)'!I128="Yes"),IF(VLOOKUP('Fee Summary'!A123,'FT Fee (Franchise)'!$A$19:$J$168,4,FALSE)="",VLOOKUP(A123,'FT Fee (Franchise)'!A128:J277,3,FALSE),CONCATENATE(VLOOKUP(A123,'FT Fee (Franchise)'!A128:J277,3,FALSE)," - ",VLOOKUP('Fee Summary'!A123,'FT Fee (Franchise)'!$A$19:$J$168,4,FALSE))))</f>
        <v>0</v>
      </c>
      <c r="O293" s="301" t="str">
        <f>IF(AND('FT Fee (Franchise)'!I128="Yes"),VLOOKUP('Fee Summary'!A123,'FT Fee (Franchise)'!$A$19:$J$168,10,FALSE),"")</f>
        <v/>
      </c>
      <c r="P293" s="301" t="str">
        <f>IF(VLOOKUP(A123,'FT Fee (Franchise)'!A128:K277,3,FALSE)=0,"",VLOOKUP(A123,'FT Fee (Franchise)'!A128:K277,3,FALSE))</f>
        <v/>
      </c>
      <c r="AH293" s="457"/>
    </row>
    <row r="294" spans="11:34" ht="15.75" hidden="1" x14ac:dyDescent="0.25">
      <c r="K294" s="301" t="str">
        <f>IF(ISERROR(RANK(L294,$L$23:$L$473,1)+COUNTIF($L$23:L294,L294)-1)=TRUE,"",RANK(L294,$L$23:$L$473,1)+COUNTIF($L$23:L294,L294)-1)</f>
        <v/>
      </c>
      <c r="L294" s="301" t="str">
        <f t="shared" si="35"/>
        <v/>
      </c>
      <c r="M294" s="301" t="str">
        <f>IF(AND('FT Fee (Franchise)'!I129="Yes"),VLOOKUP('Fee Summary'!A124,'FT Fee (Franchise)'!$A$19:$J$168,2,FALSE),"")</f>
        <v/>
      </c>
      <c r="N294" s="301" t="b">
        <f>IF(AND('FT Fee (Franchise)'!I129="Yes"),IF(VLOOKUP('Fee Summary'!A124,'FT Fee (Franchise)'!$A$19:$J$168,4,FALSE)="",VLOOKUP(A124,'FT Fee (Franchise)'!A129:J278,3,FALSE),CONCATENATE(VLOOKUP(A124,'FT Fee (Franchise)'!A129:J278,3,FALSE)," - ",VLOOKUP('Fee Summary'!A124,'FT Fee (Franchise)'!$A$19:$J$168,4,FALSE))))</f>
        <v>0</v>
      </c>
      <c r="O294" s="301" t="str">
        <f>IF(AND('FT Fee (Franchise)'!I129="Yes"),VLOOKUP('Fee Summary'!A124,'FT Fee (Franchise)'!$A$19:$J$168,10,FALSE),"")</f>
        <v/>
      </c>
      <c r="P294" s="301" t="str">
        <f>IF(VLOOKUP(A124,'FT Fee (Franchise)'!A129:K278,3,FALSE)=0,"",VLOOKUP(A124,'FT Fee (Franchise)'!A129:K278,3,FALSE))</f>
        <v/>
      </c>
      <c r="AH294" s="457"/>
    </row>
    <row r="295" spans="11:34" ht="15.75" hidden="1" x14ac:dyDescent="0.25">
      <c r="K295" s="301" t="str">
        <f>IF(ISERROR(RANK(L295,$L$23:$L$473,1)+COUNTIF($L$23:L295,L295)-1)=TRUE,"",RANK(L295,$L$23:$L$473,1)+COUNTIF($L$23:L295,L295)-1)</f>
        <v/>
      </c>
      <c r="L295" s="301" t="str">
        <f t="shared" si="35"/>
        <v/>
      </c>
      <c r="M295" s="301" t="str">
        <f>IF(AND('FT Fee (Franchise)'!I130="Yes"),VLOOKUP('Fee Summary'!A125,'FT Fee (Franchise)'!$A$19:$J$168,2,FALSE),"")</f>
        <v/>
      </c>
      <c r="N295" s="301" t="b">
        <f>IF(AND('FT Fee (Franchise)'!I130="Yes"),IF(VLOOKUP('Fee Summary'!A125,'FT Fee (Franchise)'!$A$19:$J$168,4,FALSE)="",VLOOKUP(A125,'FT Fee (Franchise)'!A130:J279,3,FALSE),CONCATENATE(VLOOKUP(A125,'FT Fee (Franchise)'!A130:J279,3,FALSE)," - ",VLOOKUP('Fee Summary'!A125,'FT Fee (Franchise)'!$A$19:$J$168,4,FALSE))))</f>
        <v>0</v>
      </c>
      <c r="O295" s="301" t="str">
        <f>IF(AND('FT Fee (Franchise)'!I130="Yes"),VLOOKUP('Fee Summary'!A125,'FT Fee (Franchise)'!$A$19:$J$168,10,FALSE),"")</f>
        <v/>
      </c>
      <c r="P295" s="301" t="str">
        <f>IF(VLOOKUP(A125,'FT Fee (Franchise)'!A130:K279,3,FALSE)=0,"",VLOOKUP(A125,'FT Fee (Franchise)'!A130:K279,3,FALSE))</f>
        <v/>
      </c>
      <c r="AH295" s="457"/>
    </row>
    <row r="296" spans="11:34" ht="15.75" hidden="1" x14ac:dyDescent="0.25">
      <c r="K296" s="301" t="str">
        <f>IF(ISERROR(RANK(L296,$L$23:$L$473,1)+COUNTIF($L$23:L296,L296)-1)=TRUE,"",RANK(L296,$L$23:$L$473,1)+COUNTIF($L$23:L296,L296)-1)</f>
        <v/>
      </c>
      <c r="L296" s="301" t="str">
        <f t="shared" si="35"/>
        <v/>
      </c>
      <c r="M296" s="301" t="str">
        <f>IF(AND('FT Fee (Franchise)'!I131="Yes"),VLOOKUP('Fee Summary'!A126,'FT Fee (Franchise)'!$A$19:$J$168,2,FALSE),"")</f>
        <v/>
      </c>
      <c r="N296" s="301" t="b">
        <f>IF(AND('FT Fee (Franchise)'!I131="Yes"),IF(VLOOKUP('Fee Summary'!A126,'FT Fee (Franchise)'!$A$19:$J$168,4,FALSE)="",VLOOKUP(A126,'FT Fee (Franchise)'!A131:J280,3,FALSE),CONCATENATE(VLOOKUP(A126,'FT Fee (Franchise)'!A131:J280,3,FALSE)," - ",VLOOKUP('Fee Summary'!A126,'FT Fee (Franchise)'!$A$19:$J$168,4,FALSE))))</f>
        <v>0</v>
      </c>
      <c r="O296" s="301" t="str">
        <f>IF(AND('FT Fee (Franchise)'!I131="Yes"),VLOOKUP('Fee Summary'!A126,'FT Fee (Franchise)'!$A$19:$J$168,10,FALSE),"")</f>
        <v/>
      </c>
      <c r="P296" s="301" t="str">
        <f>IF(VLOOKUP(A126,'FT Fee (Franchise)'!A131:K280,3,FALSE)=0,"",VLOOKUP(A126,'FT Fee (Franchise)'!A131:K280,3,FALSE))</f>
        <v/>
      </c>
      <c r="AH296" s="457"/>
    </row>
    <row r="297" spans="11:34" ht="15.75" hidden="1" x14ac:dyDescent="0.25">
      <c r="K297" s="301" t="str">
        <f>IF(ISERROR(RANK(L297,$L$23:$L$473,1)+COUNTIF($L$23:L297,L297)-1)=TRUE,"",RANK(L297,$L$23:$L$473,1)+COUNTIF($L$23:L297,L297)-1)</f>
        <v/>
      </c>
      <c r="L297" s="301" t="str">
        <f t="shared" si="35"/>
        <v/>
      </c>
      <c r="M297" s="301" t="str">
        <f>IF(AND('FT Fee (Franchise)'!I132="Yes"),VLOOKUP('Fee Summary'!A127,'FT Fee (Franchise)'!$A$19:$J$168,2,FALSE),"")</f>
        <v/>
      </c>
      <c r="N297" s="301" t="b">
        <f>IF(AND('FT Fee (Franchise)'!I132="Yes"),IF(VLOOKUP('Fee Summary'!A127,'FT Fee (Franchise)'!$A$19:$J$168,4,FALSE)="",VLOOKUP(A127,'FT Fee (Franchise)'!A132:J281,3,FALSE),CONCATENATE(VLOOKUP(A127,'FT Fee (Franchise)'!A132:J281,3,FALSE)," - ",VLOOKUP('Fee Summary'!A127,'FT Fee (Franchise)'!$A$19:$J$168,4,FALSE))))</f>
        <v>0</v>
      </c>
      <c r="O297" s="301" t="str">
        <f>IF(AND('FT Fee (Franchise)'!I132="Yes"),VLOOKUP('Fee Summary'!A127,'FT Fee (Franchise)'!$A$19:$J$168,10,FALSE),"")</f>
        <v/>
      </c>
      <c r="P297" s="301" t="str">
        <f>IF(VLOOKUP(A127,'FT Fee (Franchise)'!A132:K281,3,FALSE)=0,"",VLOOKUP(A127,'FT Fee (Franchise)'!A132:K281,3,FALSE))</f>
        <v/>
      </c>
      <c r="AH297" s="457"/>
    </row>
    <row r="298" spans="11:34" ht="15.75" hidden="1" x14ac:dyDescent="0.25">
      <c r="K298" s="301" t="str">
        <f>IF(ISERROR(RANK(L298,$L$23:$L$473,1)+COUNTIF($L$23:L298,L298)-1)=TRUE,"",RANK(L298,$L$23:$L$473,1)+COUNTIF($L$23:L298,L298)-1)</f>
        <v/>
      </c>
      <c r="L298" s="301" t="str">
        <f t="shared" si="35"/>
        <v/>
      </c>
      <c r="M298" s="301" t="str">
        <f>IF(AND('FT Fee (Franchise)'!I133="Yes"),VLOOKUP('Fee Summary'!A128,'FT Fee (Franchise)'!$A$19:$J$168,2,FALSE),"")</f>
        <v/>
      </c>
      <c r="N298" s="301" t="b">
        <f>IF(AND('FT Fee (Franchise)'!I133="Yes"),IF(VLOOKUP('Fee Summary'!A128,'FT Fee (Franchise)'!$A$19:$J$168,4,FALSE)="",VLOOKUP(A128,'FT Fee (Franchise)'!A133:J282,3,FALSE),CONCATENATE(VLOOKUP(A128,'FT Fee (Franchise)'!A133:J282,3,FALSE)," - ",VLOOKUP('Fee Summary'!A128,'FT Fee (Franchise)'!$A$19:$J$168,4,FALSE))))</f>
        <v>0</v>
      </c>
      <c r="O298" s="301" t="str">
        <f>IF(AND('FT Fee (Franchise)'!I133="Yes"),VLOOKUP('Fee Summary'!A128,'FT Fee (Franchise)'!$A$19:$J$168,10,FALSE),"")</f>
        <v/>
      </c>
      <c r="P298" s="301" t="str">
        <f>IF(VLOOKUP(A128,'FT Fee (Franchise)'!A133:K282,3,FALSE)=0,"",VLOOKUP(A128,'FT Fee (Franchise)'!A133:K282,3,FALSE))</f>
        <v/>
      </c>
      <c r="AH298" s="457"/>
    </row>
    <row r="299" spans="11:34" ht="15.75" hidden="1" x14ac:dyDescent="0.25">
      <c r="K299" s="301" t="str">
        <f>IF(ISERROR(RANK(L299,$L$23:$L$473,1)+COUNTIF($L$23:L299,L299)-1)=TRUE,"",RANK(L299,$L$23:$L$473,1)+COUNTIF($L$23:L299,L299)-1)</f>
        <v/>
      </c>
      <c r="L299" s="301" t="str">
        <f t="shared" si="35"/>
        <v/>
      </c>
      <c r="M299" s="301" t="str">
        <f>IF(AND('FT Fee (Franchise)'!I134="Yes"),VLOOKUP('Fee Summary'!A129,'FT Fee (Franchise)'!$A$19:$J$168,2,FALSE),"")</f>
        <v/>
      </c>
      <c r="N299" s="301" t="b">
        <f>IF(AND('FT Fee (Franchise)'!I134="Yes"),IF(VLOOKUP('Fee Summary'!A129,'FT Fee (Franchise)'!$A$19:$J$168,4,FALSE)="",VLOOKUP(A129,'FT Fee (Franchise)'!A134:J283,3,FALSE),CONCATENATE(VLOOKUP(A129,'FT Fee (Franchise)'!A134:J283,3,FALSE)," - ",VLOOKUP('Fee Summary'!A129,'FT Fee (Franchise)'!$A$19:$J$168,4,FALSE))))</f>
        <v>0</v>
      </c>
      <c r="O299" s="301" t="str">
        <f>IF(AND('FT Fee (Franchise)'!I134="Yes"),VLOOKUP('Fee Summary'!A129,'FT Fee (Franchise)'!$A$19:$J$168,10,FALSE),"")</f>
        <v/>
      </c>
      <c r="P299" s="301" t="str">
        <f>IF(VLOOKUP(A129,'FT Fee (Franchise)'!A134:K283,3,FALSE)=0,"",VLOOKUP(A129,'FT Fee (Franchise)'!A134:K283,3,FALSE))</f>
        <v/>
      </c>
      <c r="AH299" s="457"/>
    </row>
    <row r="300" spans="11:34" ht="15.75" hidden="1" x14ac:dyDescent="0.25">
      <c r="K300" s="301" t="str">
        <f>IF(ISERROR(RANK(L300,$L$23:$L$473,1)+COUNTIF($L$23:L300,L300)-1)=TRUE,"",RANK(L300,$L$23:$L$473,1)+COUNTIF($L$23:L300,L300)-1)</f>
        <v/>
      </c>
      <c r="L300" s="301" t="str">
        <f t="shared" si="35"/>
        <v/>
      </c>
      <c r="M300" s="301" t="str">
        <f>IF(AND('FT Fee (Franchise)'!I135="Yes"),VLOOKUP('Fee Summary'!A130,'FT Fee (Franchise)'!$A$19:$J$168,2,FALSE),"")</f>
        <v/>
      </c>
      <c r="N300" s="301" t="b">
        <f>IF(AND('FT Fee (Franchise)'!I135="Yes"),IF(VLOOKUP('Fee Summary'!A130,'FT Fee (Franchise)'!$A$19:$J$168,4,FALSE)="",VLOOKUP(A130,'FT Fee (Franchise)'!A135:J284,3,FALSE),CONCATENATE(VLOOKUP(A130,'FT Fee (Franchise)'!A135:J284,3,FALSE)," - ",VLOOKUP('Fee Summary'!A130,'FT Fee (Franchise)'!$A$19:$J$168,4,FALSE))))</f>
        <v>0</v>
      </c>
      <c r="O300" s="301" t="str">
        <f>IF(AND('FT Fee (Franchise)'!I135="Yes"),VLOOKUP('Fee Summary'!A130,'FT Fee (Franchise)'!$A$19:$J$168,10,FALSE),"")</f>
        <v/>
      </c>
      <c r="P300" s="301" t="str">
        <f>IF(VLOOKUP(A130,'FT Fee (Franchise)'!A135:K284,3,FALSE)=0,"",VLOOKUP(A130,'FT Fee (Franchise)'!A135:K284,3,FALSE))</f>
        <v/>
      </c>
      <c r="AH300" s="457"/>
    </row>
    <row r="301" spans="11:34" ht="15.75" hidden="1" x14ac:dyDescent="0.25">
      <c r="K301" s="301" t="str">
        <f>IF(ISERROR(RANK(L301,$L$23:$L$473,1)+COUNTIF($L$23:L301,L301)-1)=TRUE,"",RANK(L301,$L$23:$L$473,1)+COUNTIF($L$23:L301,L301)-1)</f>
        <v/>
      </c>
      <c r="L301" s="301" t="str">
        <f t="shared" si="35"/>
        <v/>
      </c>
      <c r="M301" s="301" t="str">
        <f>IF(AND('FT Fee (Franchise)'!I136="Yes"),VLOOKUP('Fee Summary'!A131,'FT Fee (Franchise)'!$A$19:$J$168,2,FALSE),"")</f>
        <v/>
      </c>
      <c r="N301" s="301" t="b">
        <f>IF(AND('FT Fee (Franchise)'!I136="Yes"),IF(VLOOKUP('Fee Summary'!A131,'FT Fee (Franchise)'!$A$19:$J$168,4,FALSE)="",VLOOKUP(A131,'FT Fee (Franchise)'!A136:J285,3,FALSE),CONCATENATE(VLOOKUP(A131,'FT Fee (Franchise)'!A136:J285,3,FALSE)," - ",VLOOKUP('Fee Summary'!A131,'FT Fee (Franchise)'!$A$19:$J$168,4,FALSE))))</f>
        <v>0</v>
      </c>
      <c r="O301" s="301" t="str">
        <f>IF(AND('FT Fee (Franchise)'!I136="Yes"),VLOOKUP('Fee Summary'!A131,'FT Fee (Franchise)'!$A$19:$J$168,10,FALSE),"")</f>
        <v/>
      </c>
      <c r="P301" s="301" t="str">
        <f>IF(VLOOKUP(A131,'FT Fee (Franchise)'!A136:K285,3,FALSE)=0,"",VLOOKUP(A131,'FT Fee (Franchise)'!A136:K285,3,FALSE))</f>
        <v/>
      </c>
      <c r="AH301" s="457"/>
    </row>
    <row r="302" spans="11:34" ht="15.75" hidden="1" x14ac:dyDescent="0.25">
      <c r="K302" s="301" t="str">
        <f>IF(ISERROR(RANK(L302,$L$23:$L$473,1)+COUNTIF($L$23:L302,L302)-1)=TRUE,"",RANK(L302,$L$23:$L$473,1)+COUNTIF($L$23:L302,L302)-1)</f>
        <v/>
      </c>
      <c r="L302" s="301" t="str">
        <f t="shared" si="35"/>
        <v/>
      </c>
      <c r="M302" s="301" t="str">
        <f>IF(AND('FT Fee (Franchise)'!I137="Yes"),VLOOKUP('Fee Summary'!A132,'FT Fee (Franchise)'!$A$19:$J$168,2,FALSE),"")</f>
        <v/>
      </c>
      <c r="N302" s="301" t="b">
        <f>IF(AND('FT Fee (Franchise)'!I137="Yes"),IF(VLOOKUP('Fee Summary'!A132,'FT Fee (Franchise)'!$A$19:$J$168,4,FALSE)="",VLOOKUP(A132,'FT Fee (Franchise)'!A137:J286,3,FALSE),CONCATENATE(VLOOKUP(A132,'FT Fee (Franchise)'!A137:J286,3,FALSE)," - ",VLOOKUP('Fee Summary'!A132,'FT Fee (Franchise)'!$A$19:$J$168,4,FALSE))))</f>
        <v>0</v>
      </c>
      <c r="O302" s="301" t="str">
        <f>IF(AND('FT Fee (Franchise)'!I137="Yes"),VLOOKUP('Fee Summary'!A132,'FT Fee (Franchise)'!$A$19:$J$168,10,FALSE),"")</f>
        <v/>
      </c>
      <c r="P302" s="301" t="str">
        <f>IF(VLOOKUP(A132,'FT Fee (Franchise)'!A137:K286,3,FALSE)=0,"",VLOOKUP(A132,'FT Fee (Franchise)'!A137:K286,3,FALSE))</f>
        <v/>
      </c>
      <c r="AH302" s="457"/>
    </row>
    <row r="303" spans="11:34" ht="15.75" hidden="1" x14ac:dyDescent="0.25">
      <c r="K303" s="301" t="str">
        <f>IF(ISERROR(RANK(L303,$L$23:$L$473,1)+COUNTIF($L$23:L303,L303)-1)=TRUE,"",RANK(L303,$L$23:$L$473,1)+COUNTIF($L$23:L303,L303)-1)</f>
        <v/>
      </c>
      <c r="L303" s="301" t="str">
        <f t="shared" si="35"/>
        <v/>
      </c>
      <c r="M303" s="301" t="str">
        <f>IF(AND('FT Fee (Franchise)'!I138="Yes"),VLOOKUP('Fee Summary'!A133,'FT Fee (Franchise)'!$A$19:$J$168,2,FALSE),"")</f>
        <v/>
      </c>
      <c r="N303" s="301" t="b">
        <f>IF(AND('FT Fee (Franchise)'!I138="Yes"),IF(VLOOKUP('Fee Summary'!A133,'FT Fee (Franchise)'!$A$19:$J$168,4,FALSE)="",VLOOKUP(A133,'FT Fee (Franchise)'!A138:J287,3,FALSE),CONCATENATE(VLOOKUP(A133,'FT Fee (Franchise)'!A138:J287,3,FALSE)," - ",VLOOKUP('Fee Summary'!A133,'FT Fee (Franchise)'!$A$19:$J$168,4,FALSE))))</f>
        <v>0</v>
      </c>
      <c r="O303" s="301" t="str">
        <f>IF(AND('FT Fee (Franchise)'!I138="Yes"),VLOOKUP('Fee Summary'!A133,'FT Fee (Franchise)'!$A$19:$J$168,10,FALSE),"")</f>
        <v/>
      </c>
      <c r="P303" s="301" t="str">
        <f>IF(VLOOKUP(A133,'FT Fee (Franchise)'!A138:K287,3,FALSE)=0,"",VLOOKUP(A133,'FT Fee (Franchise)'!A138:K287,3,FALSE))</f>
        <v/>
      </c>
      <c r="AH303" s="457"/>
    </row>
    <row r="304" spans="11:34" ht="15.75" hidden="1" x14ac:dyDescent="0.25">
      <c r="K304" s="301" t="str">
        <f>IF(ISERROR(RANK(L304,$L$23:$L$473,1)+COUNTIF($L$23:L304,L304)-1)=TRUE,"",RANK(L304,$L$23:$L$473,1)+COUNTIF($L$23:L304,L304)-1)</f>
        <v/>
      </c>
      <c r="L304" s="301" t="str">
        <f t="shared" si="35"/>
        <v/>
      </c>
      <c r="M304" s="301" t="str">
        <f>IF(AND('FT Fee (Franchise)'!I139="Yes"),VLOOKUP('Fee Summary'!A134,'FT Fee (Franchise)'!$A$19:$J$168,2,FALSE),"")</f>
        <v/>
      </c>
      <c r="N304" s="301" t="b">
        <f>IF(AND('FT Fee (Franchise)'!I139="Yes"),IF(VLOOKUP('Fee Summary'!A134,'FT Fee (Franchise)'!$A$19:$J$168,4,FALSE)="",VLOOKUP(A134,'FT Fee (Franchise)'!A139:J288,3,FALSE),CONCATENATE(VLOOKUP(A134,'FT Fee (Franchise)'!A139:J288,3,FALSE)," - ",VLOOKUP('Fee Summary'!A134,'FT Fee (Franchise)'!$A$19:$J$168,4,FALSE))))</f>
        <v>0</v>
      </c>
      <c r="O304" s="301" t="str">
        <f>IF(AND('FT Fee (Franchise)'!I139="Yes"),VLOOKUP('Fee Summary'!A134,'FT Fee (Franchise)'!$A$19:$J$168,10,FALSE),"")</f>
        <v/>
      </c>
      <c r="P304" s="301" t="str">
        <f>IF(VLOOKUP(A134,'FT Fee (Franchise)'!A139:K288,3,FALSE)=0,"",VLOOKUP(A134,'FT Fee (Franchise)'!A139:K288,3,FALSE))</f>
        <v/>
      </c>
      <c r="AH304" s="457"/>
    </row>
    <row r="305" spans="11:34" ht="15.75" hidden="1" x14ac:dyDescent="0.25">
      <c r="K305" s="301" t="str">
        <f>IF(ISERROR(RANK(L305,$L$23:$L$473,1)+COUNTIF($L$23:L305,L305)-1)=TRUE,"",RANK(L305,$L$23:$L$473,1)+COUNTIF($L$23:L305,L305)-1)</f>
        <v/>
      </c>
      <c r="L305" s="301" t="str">
        <f t="shared" si="35"/>
        <v/>
      </c>
      <c r="M305" s="301" t="str">
        <f>IF(AND('FT Fee (Franchise)'!I140="Yes"),VLOOKUP('Fee Summary'!A135,'FT Fee (Franchise)'!$A$19:$J$168,2,FALSE),"")</f>
        <v/>
      </c>
      <c r="N305" s="301" t="b">
        <f>IF(AND('FT Fee (Franchise)'!I140="Yes"),IF(VLOOKUP('Fee Summary'!A135,'FT Fee (Franchise)'!$A$19:$J$168,4,FALSE)="",VLOOKUP(A135,'FT Fee (Franchise)'!A140:J289,3,FALSE),CONCATENATE(VLOOKUP(A135,'FT Fee (Franchise)'!A140:J289,3,FALSE)," - ",VLOOKUP('Fee Summary'!A135,'FT Fee (Franchise)'!$A$19:$J$168,4,FALSE))))</f>
        <v>0</v>
      </c>
      <c r="O305" s="301" t="str">
        <f>IF(AND('FT Fee (Franchise)'!I140="Yes"),VLOOKUP('Fee Summary'!A135,'FT Fee (Franchise)'!$A$19:$J$168,10,FALSE),"")</f>
        <v/>
      </c>
      <c r="P305" s="301" t="str">
        <f>IF(VLOOKUP(A135,'FT Fee (Franchise)'!A140:K289,3,FALSE)=0,"",VLOOKUP(A135,'FT Fee (Franchise)'!A140:K289,3,FALSE))</f>
        <v/>
      </c>
      <c r="AH305" s="457"/>
    </row>
    <row r="306" spans="11:34" ht="15.75" hidden="1" x14ac:dyDescent="0.25">
      <c r="K306" s="301" t="str">
        <f>IF(ISERROR(RANK(L306,$L$23:$L$473,1)+COUNTIF($L$23:L306,L306)-1)=TRUE,"",RANK(L306,$L$23:$L$473,1)+COUNTIF($L$23:L306,L306)-1)</f>
        <v/>
      </c>
      <c r="L306" s="301" t="str">
        <f t="shared" si="35"/>
        <v/>
      </c>
      <c r="M306" s="301" t="str">
        <f>IF(AND('FT Fee (Franchise)'!I141="Yes"),VLOOKUP('Fee Summary'!A136,'FT Fee (Franchise)'!$A$19:$J$168,2,FALSE),"")</f>
        <v/>
      </c>
      <c r="N306" s="301" t="b">
        <f>IF(AND('FT Fee (Franchise)'!I141="Yes"),IF(VLOOKUP('Fee Summary'!A136,'FT Fee (Franchise)'!$A$19:$J$168,4,FALSE)="",VLOOKUP(A136,'FT Fee (Franchise)'!A141:J290,3,FALSE),CONCATENATE(VLOOKUP(A136,'FT Fee (Franchise)'!A141:J290,3,FALSE)," - ",VLOOKUP('Fee Summary'!A136,'FT Fee (Franchise)'!$A$19:$J$168,4,FALSE))))</f>
        <v>0</v>
      </c>
      <c r="O306" s="301" t="str">
        <f>IF(AND('FT Fee (Franchise)'!I141="Yes"),VLOOKUP('Fee Summary'!A136,'FT Fee (Franchise)'!$A$19:$J$168,10,FALSE),"")</f>
        <v/>
      </c>
      <c r="P306" s="301" t="str">
        <f>IF(VLOOKUP(A136,'FT Fee (Franchise)'!A141:K290,3,FALSE)=0,"",VLOOKUP(A136,'FT Fee (Franchise)'!A141:K290,3,FALSE))</f>
        <v/>
      </c>
      <c r="AH306" s="457"/>
    </row>
    <row r="307" spans="11:34" ht="15.75" hidden="1" x14ac:dyDescent="0.25">
      <c r="K307" s="301" t="str">
        <f>IF(ISERROR(RANK(L307,$L$23:$L$473,1)+COUNTIF($L$23:L307,L307)-1)=TRUE,"",RANK(L307,$L$23:$L$473,1)+COUNTIF($L$23:L307,L307)-1)</f>
        <v/>
      </c>
      <c r="L307" s="301" t="str">
        <f t="shared" si="35"/>
        <v/>
      </c>
      <c r="M307" s="301" t="str">
        <f>IF(AND('FT Fee (Franchise)'!I142="Yes"),VLOOKUP('Fee Summary'!A137,'FT Fee (Franchise)'!$A$19:$J$168,2,FALSE),"")</f>
        <v/>
      </c>
      <c r="N307" s="301" t="b">
        <f>IF(AND('FT Fee (Franchise)'!I142="Yes"),IF(VLOOKUP('Fee Summary'!A137,'FT Fee (Franchise)'!$A$19:$J$168,4,FALSE)="",VLOOKUP(A137,'FT Fee (Franchise)'!A142:J291,3,FALSE),CONCATENATE(VLOOKUP(A137,'FT Fee (Franchise)'!A142:J291,3,FALSE)," - ",VLOOKUP('Fee Summary'!A137,'FT Fee (Franchise)'!$A$19:$J$168,4,FALSE))))</f>
        <v>0</v>
      </c>
      <c r="O307" s="301" t="str">
        <f>IF(AND('FT Fee (Franchise)'!I142="Yes"),VLOOKUP('Fee Summary'!A137,'FT Fee (Franchise)'!$A$19:$J$168,10,FALSE),"")</f>
        <v/>
      </c>
      <c r="P307" s="301" t="str">
        <f>IF(VLOOKUP(A137,'FT Fee (Franchise)'!A142:K291,3,FALSE)=0,"",VLOOKUP(A137,'FT Fee (Franchise)'!A142:K291,3,FALSE))</f>
        <v/>
      </c>
      <c r="AH307" s="457"/>
    </row>
    <row r="308" spans="11:34" ht="15.75" hidden="1" x14ac:dyDescent="0.25">
      <c r="K308" s="301" t="str">
        <f>IF(ISERROR(RANK(L308,$L$23:$L$473,1)+COUNTIF($L$23:L308,L308)-1)=TRUE,"",RANK(L308,$L$23:$L$473,1)+COUNTIF($L$23:L308,L308)-1)</f>
        <v/>
      </c>
      <c r="L308" s="301" t="str">
        <f t="shared" si="35"/>
        <v/>
      </c>
      <c r="M308" s="301" t="str">
        <f>IF(AND('FT Fee (Franchise)'!I143="Yes"),VLOOKUP('Fee Summary'!A138,'FT Fee (Franchise)'!$A$19:$J$168,2,FALSE),"")</f>
        <v/>
      </c>
      <c r="N308" s="301" t="b">
        <f>IF(AND('FT Fee (Franchise)'!I143="Yes"),IF(VLOOKUP('Fee Summary'!A138,'FT Fee (Franchise)'!$A$19:$J$168,4,FALSE)="",VLOOKUP(A138,'FT Fee (Franchise)'!A143:J292,3,FALSE),CONCATENATE(VLOOKUP(A138,'FT Fee (Franchise)'!A143:J292,3,FALSE)," - ",VLOOKUP('Fee Summary'!A138,'FT Fee (Franchise)'!$A$19:$J$168,4,FALSE))))</f>
        <v>0</v>
      </c>
      <c r="O308" s="301" t="str">
        <f>IF(AND('FT Fee (Franchise)'!I143="Yes"),VLOOKUP('Fee Summary'!A138,'FT Fee (Franchise)'!$A$19:$J$168,10,FALSE),"")</f>
        <v/>
      </c>
      <c r="P308" s="301" t="str">
        <f>IF(VLOOKUP(A138,'FT Fee (Franchise)'!A143:K292,3,FALSE)=0,"",VLOOKUP(A138,'FT Fee (Franchise)'!A143:K292,3,FALSE))</f>
        <v/>
      </c>
      <c r="AH308" s="457"/>
    </row>
    <row r="309" spans="11:34" ht="15.75" hidden="1" x14ac:dyDescent="0.25">
      <c r="K309" s="301" t="str">
        <f>IF(ISERROR(RANK(L309,$L$23:$L$473,1)+COUNTIF($L$23:L309,L309)-1)=TRUE,"",RANK(L309,$L$23:$L$473,1)+COUNTIF($L$23:L309,L309)-1)</f>
        <v/>
      </c>
      <c r="L309" s="301" t="str">
        <f t="shared" si="35"/>
        <v/>
      </c>
      <c r="M309" s="301" t="str">
        <f>IF(AND('FT Fee (Franchise)'!I144="Yes"),VLOOKUP('Fee Summary'!A139,'FT Fee (Franchise)'!$A$19:$J$168,2,FALSE),"")</f>
        <v/>
      </c>
      <c r="N309" s="301" t="b">
        <f>IF(AND('FT Fee (Franchise)'!I144="Yes"),IF(VLOOKUP('Fee Summary'!A139,'FT Fee (Franchise)'!$A$19:$J$168,4,FALSE)="",VLOOKUP(A139,'FT Fee (Franchise)'!A144:J293,3,FALSE),CONCATENATE(VLOOKUP(A139,'FT Fee (Franchise)'!A144:J293,3,FALSE)," - ",VLOOKUP('Fee Summary'!A139,'FT Fee (Franchise)'!$A$19:$J$168,4,FALSE))))</f>
        <v>0</v>
      </c>
      <c r="O309" s="301" t="str">
        <f>IF(AND('FT Fee (Franchise)'!I144="Yes"),VLOOKUP('Fee Summary'!A139,'FT Fee (Franchise)'!$A$19:$J$168,10,FALSE),"")</f>
        <v/>
      </c>
      <c r="P309" s="301" t="str">
        <f>IF(VLOOKUP(A139,'FT Fee (Franchise)'!A144:K293,3,FALSE)=0,"",VLOOKUP(A139,'FT Fee (Franchise)'!A144:K293,3,FALSE))</f>
        <v/>
      </c>
      <c r="AH309" s="457"/>
    </row>
    <row r="310" spans="11:34" ht="15.75" hidden="1" x14ac:dyDescent="0.25">
      <c r="K310" s="301" t="str">
        <f>IF(ISERROR(RANK(L310,$L$23:$L$473,1)+COUNTIF($L$23:L310,L310)-1)=TRUE,"",RANK(L310,$L$23:$L$473,1)+COUNTIF($L$23:L310,L310)-1)</f>
        <v/>
      </c>
      <c r="L310" s="301" t="str">
        <f t="shared" si="35"/>
        <v/>
      </c>
      <c r="M310" s="301" t="str">
        <f>IF(AND('FT Fee (Franchise)'!I145="Yes"),VLOOKUP('Fee Summary'!A140,'FT Fee (Franchise)'!$A$19:$J$168,2,FALSE),"")</f>
        <v/>
      </c>
      <c r="N310" s="301" t="b">
        <f>IF(AND('FT Fee (Franchise)'!I145="Yes"),IF(VLOOKUP('Fee Summary'!A140,'FT Fee (Franchise)'!$A$19:$J$168,4,FALSE)="",VLOOKUP(A140,'FT Fee (Franchise)'!A145:J294,3,FALSE),CONCATENATE(VLOOKUP(A140,'FT Fee (Franchise)'!A145:J294,3,FALSE)," - ",VLOOKUP('Fee Summary'!A140,'FT Fee (Franchise)'!$A$19:$J$168,4,FALSE))))</f>
        <v>0</v>
      </c>
      <c r="O310" s="301" t="str">
        <f>IF(AND('FT Fee (Franchise)'!I145="Yes"),VLOOKUP('Fee Summary'!A140,'FT Fee (Franchise)'!$A$19:$J$168,10,FALSE),"")</f>
        <v/>
      </c>
      <c r="P310" s="301" t="str">
        <f>IF(VLOOKUP(A140,'FT Fee (Franchise)'!A145:K294,3,FALSE)=0,"",VLOOKUP(A140,'FT Fee (Franchise)'!A145:K294,3,FALSE))</f>
        <v/>
      </c>
      <c r="AH310" s="457"/>
    </row>
    <row r="311" spans="11:34" ht="15.75" hidden="1" x14ac:dyDescent="0.25">
      <c r="K311" s="301" t="str">
        <f>IF(ISERROR(RANK(L311,$L$23:$L$473,1)+COUNTIF($L$23:L311,L311)-1)=TRUE,"",RANK(L311,$L$23:$L$473,1)+COUNTIF($L$23:L311,L311)-1)</f>
        <v/>
      </c>
      <c r="L311" s="301" t="str">
        <f t="shared" si="35"/>
        <v/>
      </c>
      <c r="M311" s="301" t="str">
        <f>IF(AND('FT Fee (Franchise)'!I146="Yes"),VLOOKUP('Fee Summary'!A141,'FT Fee (Franchise)'!$A$19:$J$168,2,FALSE),"")</f>
        <v/>
      </c>
      <c r="N311" s="301" t="b">
        <f>IF(AND('FT Fee (Franchise)'!I146="Yes"),IF(VLOOKUP('Fee Summary'!A141,'FT Fee (Franchise)'!$A$19:$J$168,4,FALSE)="",VLOOKUP(A141,'FT Fee (Franchise)'!A146:J295,3,FALSE),CONCATENATE(VLOOKUP(A141,'FT Fee (Franchise)'!A146:J295,3,FALSE)," - ",VLOOKUP('Fee Summary'!A141,'FT Fee (Franchise)'!$A$19:$J$168,4,FALSE))))</f>
        <v>0</v>
      </c>
      <c r="O311" s="301" t="str">
        <f>IF(AND('FT Fee (Franchise)'!I146="Yes"),VLOOKUP('Fee Summary'!A141,'FT Fee (Franchise)'!$A$19:$J$168,10,FALSE),"")</f>
        <v/>
      </c>
      <c r="P311" s="301" t="str">
        <f>IF(VLOOKUP(A141,'FT Fee (Franchise)'!A146:K295,3,FALSE)=0,"",VLOOKUP(A141,'FT Fee (Franchise)'!A146:K295,3,FALSE))</f>
        <v/>
      </c>
      <c r="AH311" s="457"/>
    </row>
    <row r="312" spans="11:34" ht="15.75" hidden="1" x14ac:dyDescent="0.25">
      <c r="K312" s="301" t="str">
        <f>IF(ISERROR(RANK(L312,$L$23:$L$473,1)+COUNTIF($L$23:L312,L312)-1)=TRUE,"",RANK(L312,$L$23:$L$473,1)+COUNTIF($L$23:L312,L312)-1)</f>
        <v/>
      </c>
      <c r="L312" s="301" t="str">
        <f t="shared" si="35"/>
        <v/>
      </c>
      <c r="M312" s="301" t="str">
        <f>IF(AND('FT Fee (Franchise)'!I147="Yes"),VLOOKUP('Fee Summary'!A142,'FT Fee (Franchise)'!$A$19:$J$168,2,FALSE),"")</f>
        <v/>
      </c>
      <c r="N312" s="301" t="b">
        <f>IF(AND('FT Fee (Franchise)'!I147="Yes"),IF(VLOOKUP('Fee Summary'!A142,'FT Fee (Franchise)'!$A$19:$J$168,4,FALSE)="",VLOOKUP(A142,'FT Fee (Franchise)'!A147:J296,3,FALSE),CONCATENATE(VLOOKUP(A142,'FT Fee (Franchise)'!A147:J296,3,FALSE)," - ",VLOOKUP('Fee Summary'!A142,'FT Fee (Franchise)'!$A$19:$J$168,4,FALSE))))</f>
        <v>0</v>
      </c>
      <c r="O312" s="301" t="str">
        <f>IF(AND('FT Fee (Franchise)'!I147="Yes"),VLOOKUP('Fee Summary'!A142,'FT Fee (Franchise)'!$A$19:$J$168,10,FALSE),"")</f>
        <v/>
      </c>
      <c r="P312" s="301" t="str">
        <f>IF(VLOOKUP(A142,'FT Fee (Franchise)'!A147:K296,3,FALSE)=0,"",VLOOKUP(A142,'FT Fee (Franchise)'!A147:K296,3,FALSE))</f>
        <v/>
      </c>
      <c r="AH312" s="457"/>
    </row>
    <row r="313" spans="11:34" ht="15.75" hidden="1" x14ac:dyDescent="0.25">
      <c r="K313" s="301" t="str">
        <f>IF(ISERROR(RANK(L313,$L$23:$L$473,1)+COUNTIF($L$23:L313,L313)-1)=TRUE,"",RANK(L313,$L$23:$L$473,1)+COUNTIF($L$23:L313,L313)-1)</f>
        <v/>
      </c>
      <c r="L313" s="301" t="str">
        <f t="shared" ref="L313:L320" si="36">IF(ISERROR(VLOOKUP(M313,$AA$10:$AA$21,1,FALSE))=TRUE,"",IF(VLOOKUP(M313,$AA$10:$AC$21,2,FALSE)="",VLOOKUP(P313,$AH$11:$AI$160,2,FALSE),VLOOKUP(M313,$AA$10:$AC$21,2,FALSE)))</f>
        <v/>
      </c>
      <c r="M313" s="301" t="str">
        <f>IF(AND('FT Fee (Franchise)'!I148="Yes"),VLOOKUP('Fee Summary'!A143,'FT Fee (Franchise)'!$A$19:$J$168,2,FALSE),"")</f>
        <v/>
      </c>
      <c r="N313" s="301" t="b">
        <f>IF(AND('FT Fee (Franchise)'!I148="Yes"),IF(VLOOKUP('Fee Summary'!A143,'FT Fee (Franchise)'!$A$19:$J$168,4,FALSE)="",VLOOKUP(A143,'FT Fee (Franchise)'!A148:J297,3,FALSE),CONCATENATE(VLOOKUP(A143,'FT Fee (Franchise)'!A148:J297,3,FALSE)," - ",VLOOKUP('Fee Summary'!A143,'FT Fee (Franchise)'!$A$19:$J$168,4,FALSE))))</f>
        <v>0</v>
      </c>
      <c r="O313" s="301" t="str">
        <f>IF(AND('FT Fee (Franchise)'!I148="Yes"),VLOOKUP('Fee Summary'!A143,'FT Fee (Franchise)'!$A$19:$J$168,10,FALSE),"")</f>
        <v/>
      </c>
      <c r="P313" s="301" t="str">
        <f>IF(VLOOKUP(A143,'FT Fee (Franchise)'!A148:K297,3,FALSE)=0,"",VLOOKUP(A143,'FT Fee (Franchise)'!A148:K297,3,FALSE))</f>
        <v/>
      </c>
      <c r="AH313" s="457"/>
    </row>
    <row r="314" spans="11:34" ht="15.75" hidden="1" x14ac:dyDescent="0.25">
      <c r="K314" s="301" t="str">
        <f>IF(ISERROR(RANK(L314,$L$23:$L$473,1)+COUNTIF($L$23:L314,L314)-1)=TRUE,"",RANK(L314,$L$23:$L$473,1)+COUNTIF($L$23:L314,L314)-1)</f>
        <v/>
      </c>
      <c r="L314" s="301" t="str">
        <f t="shared" si="36"/>
        <v/>
      </c>
      <c r="M314" s="301" t="str">
        <f>IF(AND('FT Fee (Franchise)'!I149="Yes"),VLOOKUP('Fee Summary'!A144,'FT Fee (Franchise)'!$A$19:$J$168,2,FALSE),"")</f>
        <v/>
      </c>
      <c r="N314" s="301" t="b">
        <f>IF(AND('FT Fee (Franchise)'!I149="Yes"),IF(VLOOKUP('Fee Summary'!A144,'FT Fee (Franchise)'!$A$19:$J$168,4,FALSE)="",VLOOKUP(A144,'FT Fee (Franchise)'!A149:J298,3,FALSE),CONCATENATE(VLOOKUP(A144,'FT Fee (Franchise)'!A149:J298,3,FALSE)," - ",VLOOKUP('Fee Summary'!A144,'FT Fee (Franchise)'!$A$19:$J$168,4,FALSE))))</f>
        <v>0</v>
      </c>
      <c r="O314" s="301" t="str">
        <f>IF(AND('FT Fee (Franchise)'!I149="Yes"),VLOOKUP('Fee Summary'!A144,'FT Fee (Franchise)'!$A$19:$J$168,10,FALSE),"")</f>
        <v/>
      </c>
      <c r="P314" s="301" t="str">
        <f>IF(VLOOKUP(A144,'FT Fee (Franchise)'!A149:K298,3,FALSE)=0,"",VLOOKUP(A144,'FT Fee (Franchise)'!A149:K298,3,FALSE))</f>
        <v/>
      </c>
      <c r="AH314" s="457"/>
    </row>
    <row r="315" spans="11:34" ht="15.75" hidden="1" x14ac:dyDescent="0.25">
      <c r="K315" s="301" t="str">
        <f>IF(ISERROR(RANK(L315,$L$23:$L$473,1)+COUNTIF($L$23:L315,L315)-1)=TRUE,"",RANK(L315,$L$23:$L$473,1)+COUNTIF($L$23:L315,L315)-1)</f>
        <v/>
      </c>
      <c r="L315" s="301" t="str">
        <f t="shared" si="36"/>
        <v/>
      </c>
      <c r="M315" s="301" t="str">
        <f>IF(AND('FT Fee (Franchise)'!I150="Yes"),VLOOKUP('Fee Summary'!A145,'FT Fee (Franchise)'!$A$19:$J$168,2,FALSE),"")</f>
        <v/>
      </c>
      <c r="N315" s="301" t="b">
        <f>IF(AND('FT Fee (Franchise)'!I150="Yes"),IF(VLOOKUP('Fee Summary'!A145,'FT Fee (Franchise)'!$A$19:$J$168,4,FALSE)="",VLOOKUP(A145,'FT Fee (Franchise)'!A150:J299,3,FALSE),CONCATENATE(VLOOKUP(A145,'FT Fee (Franchise)'!A150:J299,3,FALSE)," - ",VLOOKUP('Fee Summary'!A145,'FT Fee (Franchise)'!$A$19:$J$168,4,FALSE))))</f>
        <v>0</v>
      </c>
      <c r="O315" s="301" t="str">
        <f>IF(AND('FT Fee (Franchise)'!I150="Yes"),VLOOKUP('Fee Summary'!A145,'FT Fee (Franchise)'!$A$19:$J$168,10,FALSE),"")</f>
        <v/>
      </c>
      <c r="P315" s="301" t="str">
        <f>IF(VLOOKUP(A145,'FT Fee (Franchise)'!A150:K299,3,FALSE)=0,"",VLOOKUP(A145,'FT Fee (Franchise)'!A150:K299,3,FALSE))</f>
        <v/>
      </c>
      <c r="AH315" s="457"/>
    </row>
    <row r="316" spans="11:34" ht="15.75" hidden="1" x14ac:dyDescent="0.25">
      <c r="K316" s="301" t="str">
        <f>IF(ISERROR(RANK(L316,$L$23:$L$473,1)+COUNTIF($L$23:L316,L316)-1)=TRUE,"",RANK(L316,$L$23:$L$473,1)+COUNTIF($L$23:L316,L316)-1)</f>
        <v/>
      </c>
      <c r="L316" s="301" t="str">
        <f t="shared" si="36"/>
        <v/>
      </c>
      <c r="M316" s="301" t="str">
        <f>IF(AND('FT Fee (Franchise)'!I151="Yes"),VLOOKUP('Fee Summary'!A146,'FT Fee (Franchise)'!$A$19:$J$168,2,FALSE),"")</f>
        <v/>
      </c>
      <c r="N316" s="301" t="b">
        <f>IF(AND('FT Fee (Franchise)'!I151="Yes"),IF(VLOOKUP('Fee Summary'!A146,'FT Fee (Franchise)'!$A$19:$J$168,4,FALSE)="",VLOOKUP(A146,'FT Fee (Franchise)'!A151:J300,3,FALSE),CONCATENATE(VLOOKUP(A146,'FT Fee (Franchise)'!A151:J300,3,FALSE)," - ",VLOOKUP('Fee Summary'!A146,'FT Fee (Franchise)'!$A$19:$J$168,4,FALSE))))</f>
        <v>0</v>
      </c>
      <c r="O316" s="301" t="str">
        <f>IF(AND('FT Fee (Franchise)'!I151="Yes"),VLOOKUP('Fee Summary'!A146,'FT Fee (Franchise)'!$A$19:$J$168,10,FALSE),"")</f>
        <v/>
      </c>
      <c r="P316" s="301" t="str">
        <f>IF(VLOOKUP(A146,'FT Fee (Franchise)'!A151:K300,3,FALSE)=0,"",VLOOKUP(A146,'FT Fee (Franchise)'!A151:K300,3,FALSE))</f>
        <v/>
      </c>
      <c r="AH316" s="457"/>
    </row>
    <row r="317" spans="11:34" ht="15.75" hidden="1" x14ac:dyDescent="0.25">
      <c r="K317" s="301" t="str">
        <f>IF(ISERROR(RANK(L317,$L$23:$L$473,1)+COUNTIF($L$23:L317,L317)-1)=TRUE,"",RANK(L317,$L$23:$L$473,1)+COUNTIF($L$23:L317,L317)-1)</f>
        <v/>
      </c>
      <c r="L317" s="301" t="str">
        <f t="shared" si="36"/>
        <v/>
      </c>
      <c r="M317" s="301" t="str">
        <f>IF(AND('FT Fee (Franchise)'!I152="Yes"),VLOOKUP('Fee Summary'!A147,'FT Fee (Franchise)'!$A$19:$J$168,2,FALSE),"")</f>
        <v/>
      </c>
      <c r="N317" s="301" t="b">
        <f>IF(AND('FT Fee (Franchise)'!I152="Yes"),IF(VLOOKUP('Fee Summary'!A147,'FT Fee (Franchise)'!$A$19:$J$168,4,FALSE)="",VLOOKUP(A147,'FT Fee (Franchise)'!A152:J301,3,FALSE),CONCATENATE(VLOOKUP(A147,'FT Fee (Franchise)'!A152:J301,3,FALSE)," - ",VLOOKUP('Fee Summary'!A147,'FT Fee (Franchise)'!$A$19:$J$168,4,FALSE))))</f>
        <v>0</v>
      </c>
      <c r="O317" s="301" t="str">
        <f>IF(AND('FT Fee (Franchise)'!I152="Yes"),VLOOKUP('Fee Summary'!A147,'FT Fee (Franchise)'!$A$19:$J$168,10,FALSE),"")</f>
        <v/>
      </c>
      <c r="P317" s="301" t="str">
        <f>IF(VLOOKUP(A147,'FT Fee (Franchise)'!A152:K301,3,FALSE)=0,"",VLOOKUP(A147,'FT Fee (Franchise)'!A152:K301,3,FALSE))</f>
        <v/>
      </c>
      <c r="AH317" s="457"/>
    </row>
    <row r="318" spans="11:34" ht="15.75" hidden="1" x14ac:dyDescent="0.25">
      <c r="K318" s="301" t="str">
        <f>IF(ISERROR(RANK(L318,$L$23:$L$473,1)+COUNTIF($L$23:L318,L318)-1)=TRUE,"",RANK(L318,$L$23:$L$473,1)+COUNTIF($L$23:L318,L318)-1)</f>
        <v/>
      </c>
      <c r="L318" s="301" t="str">
        <f t="shared" si="36"/>
        <v/>
      </c>
      <c r="M318" s="301" t="str">
        <f>IF(AND('FT Fee (Franchise)'!I153="Yes"),VLOOKUP('Fee Summary'!A148,'FT Fee (Franchise)'!$A$19:$J$168,2,FALSE),"")</f>
        <v/>
      </c>
      <c r="N318" s="301" t="b">
        <f>IF(AND('FT Fee (Franchise)'!I153="Yes"),IF(VLOOKUP('Fee Summary'!A148,'FT Fee (Franchise)'!$A$19:$J$168,4,FALSE)="",VLOOKUP(A148,'FT Fee (Franchise)'!A153:J302,3,FALSE),CONCATENATE(VLOOKUP(A148,'FT Fee (Franchise)'!A153:J302,3,FALSE)," - ",VLOOKUP('Fee Summary'!A148,'FT Fee (Franchise)'!$A$19:$J$168,4,FALSE))))</f>
        <v>0</v>
      </c>
      <c r="O318" s="301" t="str">
        <f>IF(AND('FT Fee (Franchise)'!I153="Yes"),VLOOKUP('Fee Summary'!A148,'FT Fee (Franchise)'!$A$19:$J$168,10,FALSE),"")</f>
        <v/>
      </c>
      <c r="P318" s="301" t="str">
        <f>IF(VLOOKUP(A148,'FT Fee (Franchise)'!A153:K302,3,FALSE)=0,"",VLOOKUP(A148,'FT Fee (Franchise)'!A153:K302,3,FALSE))</f>
        <v/>
      </c>
      <c r="AH318" s="457"/>
    </row>
    <row r="319" spans="11:34" ht="15.75" hidden="1" x14ac:dyDescent="0.25">
      <c r="K319" s="301" t="str">
        <f>IF(ISERROR(RANK(L319,$L$23:$L$473,1)+COUNTIF($L$23:L319,L319)-1)=TRUE,"",RANK(L319,$L$23:$L$473,1)+COUNTIF($L$23:L319,L319)-1)</f>
        <v/>
      </c>
      <c r="L319" s="301" t="str">
        <f t="shared" si="36"/>
        <v/>
      </c>
      <c r="M319" s="301" t="str">
        <f>IF(AND('FT Fee (Franchise)'!I154="Yes"),VLOOKUP('Fee Summary'!A149,'FT Fee (Franchise)'!$A$19:$J$168,2,FALSE),"")</f>
        <v/>
      </c>
      <c r="N319" s="301" t="b">
        <f>IF(AND('FT Fee (Franchise)'!I154="Yes"),IF(VLOOKUP('Fee Summary'!A149,'FT Fee (Franchise)'!$A$19:$J$168,4,FALSE)="",VLOOKUP(A149,'FT Fee (Franchise)'!A154:J303,3,FALSE),CONCATENATE(VLOOKUP(A149,'FT Fee (Franchise)'!A154:J303,3,FALSE)," - ",VLOOKUP('Fee Summary'!A149,'FT Fee (Franchise)'!$A$19:$J$168,4,FALSE))))</f>
        <v>0</v>
      </c>
      <c r="O319" s="301" t="str">
        <f>IF(AND('FT Fee (Franchise)'!I154="Yes"),VLOOKUP('Fee Summary'!A149,'FT Fee (Franchise)'!$A$19:$J$168,10,FALSE),"")</f>
        <v/>
      </c>
      <c r="P319" s="301" t="str">
        <f>IF(VLOOKUP(A149,'FT Fee (Franchise)'!A154:K303,3,FALSE)=0,"",VLOOKUP(A149,'FT Fee (Franchise)'!A154:K303,3,FALSE))</f>
        <v/>
      </c>
      <c r="AH319" s="457"/>
    </row>
    <row r="320" spans="11:34" ht="15.75" hidden="1" x14ac:dyDescent="0.25">
      <c r="K320" s="301" t="str">
        <f>IF(ISERROR(RANK(L320,$L$23:$L$473,1)+COUNTIF($L$23:L320,L320)-1)=TRUE,"",RANK(L320,$L$23:$L$473,1)+COUNTIF($L$23:L320,L320)-1)</f>
        <v/>
      </c>
      <c r="L320" s="301" t="str">
        <f t="shared" si="36"/>
        <v/>
      </c>
      <c r="M320" s="301" t="str">
        <f>IF(AND('FT Fee (Franchise)'!I155="Yes"),VLOOKUP('Fee Summary'!A150,'FT Fee (Franchise)'!$A$19:$J$168,2,FALSE),"")</f>
        <v/>
      </c>
      <c r="N320" s="301" t="b">
        <f>IF(AND('FT Fee (Franchise)'!I155="Yes"),IF(VLOOKUP('Fee Summary'!A150,'FT Fee (Franchise)'!$A$19:$J$168,4,FALSE)="",VLOOKUP(A150,'FT Fee (Franchise)'!A155:J304,3,FALSE),CONCATENATE(VLOOKUP(A150,'FT Fee (Franchise)'!A155:J304,3,FALSE)," - ",VLOOKUP('Fee Summary'!A150,'FT Fee (Franchise)'!$A$19:$J$168,4,FALSE))))</f>
        <v>0</v>
      </c>
      <c r="O320" s="301" t="str">
        <f>IF(AND('FT Fee (Franchise)'!I155="Yes"),VLOOKUP('Fee Summary'!A150,'FT Fee (Franchise)'!$A$19:$J$168,10,FALSE),"")</f>
        <v/>
      </c>
      <c r="P320" s="301" t="str">
        <f>IF(VLOOKUP(A150,'FT Fee (Franchise)'!A155:K304,3,FALSE)=0,"",VLOOKUP(A150,'FT Fee (Franchise)'!A155:K304,3,FALSE))</f>
        <v/>
      </c>
      <c r="AH320" s="457"/>
    </row>
    <row r="321" spans="11:34" ht="15.75" hidden="1" x14ac:dyDescent="0.25">
      <c r="L321" s="301" t="str">
        <f>IF(ISERROR(VLOOKUP(M321,$AA$10:$AA$21,1,FALSE))=TRUE,"",VLOOKUP(M321,$AA$10:$AC$21,2,FALSE))</f>
        <v/>
      </c>
      <c r="M321" s="301">
        <v>12</v>
      </c>
      <c r="AH321" s="457"/>
    </row>
    <row r="322" spans="11:34" ht="15.75" hidden="1" x14ac:dyDescent="0.25">
      <c r="L322" s="301" t="str">
        <f>IF(ISERROR(VLOOKUP(M322,$AA$10:$AA$21,1,FALSE))=TRUE,"",VLOOKUP(M322,$AA$10:$AC$21,2,FALSE))</f>
        <v/>
      </c>
      <c r="M322" s="301">
        <v>11</v>
      </c>
      <c r="AH322" s="457"/>
    </row>
    <row r="323" spans="11:34" ht="15.75" hidden="1" x14ac:dyDescent="0.25">
      <c r="K323" s="301" t="str">
        <f>IF(ISERROR(RANK(L323,$L$23:$L$473,1)+COUNTIF($L$23:L323,L323)-1)=TRUE,"",RANK(L323,$L$23:$L$473,1)+COUNTIF($L$23:L323,L323)-1)</f>
        <v/>
      </c>
      <c r="L323" s="301" t="str">
        <f>IF(ISERROR(VLOOKUP(M323,$AA$10:$AA$21,1,FALSE))=TRUE,"",VLOOKUP(M323,$AA$10:$AC$21,2,FALSE))</f>
        <v/>
      </c>
      <c r="M323" s="301" t="str">
        <f>IF(AND('FT Fee (Franchise)'!E156&lt;&gt;0,'FT Fee (Franchise)'!E156&lt;&gt;""),VLOOKUP('Fee Summary'!A151,'FT Fee (Franchise)'!$A$19:$J$168,2,FALSE),"")</f>
        <v/>
      </c>
      <c r="N323" s="301" t="str">
        <f>IF(AND('FT Fee (Franchise)'!F156&lt;&gt;0,'FT Fee (Franchise)'!F156&lt;&gt;""),VLOOKUP('Fee Summary'!A151,'FT Fee (Franchise)'!$A$19:$K$168,4,FALSE),"")</f>
        <v/>
      </c>
      <c r="O323" s="301" t="str">
        <f>IF(AND('FT Fee (Franchise)'!F156&lt;&gt;0,'FT Fee (Franchise)'!F156&lt;&gt;""),VLOOKUP('Fee Summary'!A151,'FT Fee (Franchise)'!$A$19:$K$168,10,FALSE),"")</f>
        <v/>
      </c>
      <c r="AH323" s="457"/>
    </row>
    <row r="324" spans="11:34" ht="15.75" hidden="1" x14ac:dyDescent="0.25">
      <c r="K324" s="301">
        <f>IF(ISERROR(RANK(L324,$L$23:$L$473,1)+COUNTIF($L$23:L324,L324)-1)=TRUE,"",RANK(L324,$L$23:$L$473,1)+COUNTIF($L$23:L324,L324)-1)</f>
        <v>29</v>
      </c>
      <c r="L324" s="301">
        <f t="shared" ref="L324:L355" si="37">IF(ISERROR(VLOOKUP(M324,$S$10:$S$20,1,FALSE))=TRUE,"",VLOOKUP(M324,$S$10:$U$20,2,FALSE))</f>
        <v>28</v>
      </c>
      <c r="M324" s="301" t="str">
        <f>IF(AND('PT Fee'!G18&lt;&gt;0,'PT Fee'!G18&lt;&gt;"",'PT Fee'!E18="Yes"),VLOOKUP('Fee Summary'!A14,'PT Fee'!$A$18:$G$167,2,FALSE),"")</f>
        <v>HNC / HND</v>
      </c>
      <c r="N324" s="301" t="str">
        <f>IF(AND('PT Fee'!E18="Yes"),CONCATENATE(VLOOKUP('Fee Summary'!A14,'PT Fee'!$A$18:$G$167,3,FALSE)," - ",VLOOKUP('Fee Summary'!A14,'PT Fee'!$A$18:$G$167,4,FALSE)),"")</f>
        <v xml:space="preserve"> - </v>
      </c>
      <c r="O324" s="301">
        <f>IF(AND('PT Fee'!G18&lt;&gt;0,'PT Fee'!G18&lt;&gt;"",'PT Fee'!E18="Yes"),VLOOKUP('Fee Summary'!A14,'PT Fee'!$A$18:$G$167,7,FALSE),"")</f>
        <v>4500</v>
      </c>
      <c r="AH324" s="457"/>
    </row>
    <row r="325" spans="11:34" ht="15.75" hidden="1" x14ac:dyDescent="0.25">
      <c r="K325" s="301">
        <f>IF(ISERROR(RANK(L325,$L$23:$L$473,1)+COUNTIF($L$23:L325,L325)-1)=TRUE,"",RANK(L325,$L$23:$L$473,1)+COUNTIF($L$23:L325,L325)-1)</f>
        <v>30</v>
      </c>
      <c r="L325" s="301">
        <f t="shared" si="37"/>
        <v>29</v>
      </c>
      <c r="M325" s="301" t="str">
        <f>IF(AND('PT Fee'!E19="Yes"),VLOOKUP('Fee Summary'!A15,'PT Fee'!$A$18:$G$167,2,FALSE),"")</f>
        <v>CertHE / DipHE</v>
      </c>
      <c r="N325" s="301" t="str">
        <f>IF(AND('PT Fee'!E19="Yes"),CONCATENATE(VLOOKUP('Fee Summary'!A15,'PT Fee'!$A$18:$G$167,3,FALSE)," - ",VLOOKUP('Fee Summary'!A15,'PT Fee'!$A$18:$G$167,4,FALSE)),"")</f>
        <v xml:space="preserve"> - </v>
      </c>
      <c r="O325" s="301">
        <f>IF(AND('PT Fee'!E19="Yes"),VLOOKUP('Fee Summary'!A15,'PT Fee'!$A$18:$G$167,7,FALSE),"")</f>
        <v>3000</v>
      </c>
      <c r="AH325" s="457"/>
    </row>
    <row r="326" spans="11:34" ht="15.75" hidden="1" x14ac:dyDescent="0.25">
      <c r="K326" s="301">
        <f>IF(ISERROR(RANK(L326,$L$23:$L$473,1)+COUNTIF($L$23:L326,L326)-1)=TRUE,"",RANK(L326,$L$23:$L$473,1)+COUNTIF($L$23:L326,L326)-1)</f>
        <v>27</v>
      </c>
      <c r="L326" s="301">
        <f t="shared" si="37"/>
        <v>26</v>
      </c>
      <c r="M326" s="301" t="str">
        <f>IF(AND('PT Fee'!E20="Yes"),VLOOKUP('Fee Summary'!A16,'PT Fee'!$A$18:$G$167,2,FALSE),"")</f>
        <v>Foundation degree</v>
      </c>
      <c r="N326" s="301" t="str">
        <f>IF(AND('PT Fee'!E20="Yes"),CONCATENATE(VLOOKUP('Fee Summary'!A16,'PT Fee'!$A$18:$G$167,3,FALSE)," - ",VLOOKUP('Fee Summary'!A16,'PT Fee'!$A$18:$G$167,4,FALSE)),"")</f>
        <v xml:space="preserve"> - </v>
      </c>
      <c r="O326" s="301">
        <f>IF(AND('PT Fee'!E20="Yes"),VLOOKUP('Fee Summary'!A16,'PT Fee'!$A$18:$G$167,7,FALSE),"")</f>
        <v>4500</v>
      </c>
      <c r="AH326" s="457"/>
    </row>
    <row r="327" spans="11:34" ht="15.75" hidden="1" x14ac:dyDescent="0.25">
      <c r="K327" s="301">
        <f>IF(ISERROR(RANK(L327,$L$23:$L$473,1)+COUNTIF($L$23:L327,L327)-1)=TRUE,"",RANK(L327,$L$23:$L$473,1)+COUNTIF($L$23:L327,L327)-1)</f>
        <v>31</v>
      </c>
      <c r="L327" s="301">
        <f t="shared" si="37"/>
        <v>30</v>
      </c>
      <c r="M327" s="301" t="str">
        <f>IF(AND('PT Fee'!E21="Yes"),VLOOKUP('Fee Summary'!A17,'PT Fee'!$A$18:$G$167,2,FALSE),"")</f>
        <v>Postgraduate ITT</v>
      </c>
      <c r="N327" s="301" t="str">
        <f>IF(AND('PT Fee'!E21="Yes"),CONCATENATE(VLOOKUP('Fee Summary'!A17,'PT Fee'!$A$18:$G$167,3,FALSE)," - ",VLOOKUP('Fee Summary'!A17,'PT Fee'!$A$18:$G$167,4,FALSE)),"")</f>
        <v xml:space="preserve"> - </v>
      </c>
      <c r="O327" s="301">
        <f>IF(AND('PT Fee'!E21="Yes"),VLOOKUP('Fee Summary'!A17,'PT Fee'!$A$18:$G$167,7,FALSE),"")</f>
        <v>4000</v>
      </c>
      <c r="AH327" s="457"/>
    </row>
    <row r="328" spans="11:34" ht="15.75" hidden="1" x14ac:dyDescent="0.25">
      <c r="K328" s="301" t="str">
        <f>IF(ISERROR(RANK(L328,$L$23:$L$473,1)+COUNTIF($L$23:L328,L328)-1)=TRUE,"",RANK(L328,$L$23:$L$473,1)+COUNTIF($L$23:L328,L328)-1)</f>
        <v/>
      </c>
      <c r="L328" s="301" t="str">
        <f t="shared" si="37"/>
        <v/>
      </c>
      <c r="M328" s="301" t="str">
        <f>IF(AND('PT Fee'!E22="Yes"),VLOOKUP('Fee Summary'!A18,'PT Fee'!$A$18:$G$167,2,FALSE),"")</f>
        <v/>
      </c>
      <c r="N328" s="301" t="str">
        <f>IF(AND('PT Fee'!E22="Yes"),CONCATENATE(VLOOKUP('Fee Summary'!A18,'PT Fee'!$A$18:$G$167,3,FALSE)," - ",VLOOKUP('Fee Summary'!A18,'PT Fee'!$A$18:$G$167,4,FALSE)),"")</f>
        <v/>
      </c>
      <c r="O328" s="301" t="str">
        <f>IF(AND('PT Fee'!E22="Yes"),VLOOKUP('Fee Summary'!A18,'PT Fee'!$A$18:$G$167,7,FALSE),"")</f>
        <v/>
      </c>
      <c r="AH328" s="457"/>
    </row>
    <row r="329" spans="11:34" ht="15.75" hidden="1" x14ac:dyDescent="0.25">
      <c r="K329" s="301" t="str">
        <f>IF(ISERROR(RANK(L329,$L$23:$L$473,1)+COUNTIF($L$23:L329,L329)-1)=TRUE,"",RANK(L329,$L$23:$L$473,1)+COUNTIF($L$23:L329,L329)-1)</f>
        <v/>
      </c>
      <c r="L329" s="301" t="str">
        <f t="shared" si="37"/>
        <v/>
      </c>
      <c r="M329" s="301" t="str">
        <f>IF(AND('PT Fee'!E23="Yes"),VLOOKUP('Fee Summary'!A19,'PT Fee'!$A$18:$G$167,2,FALSE),"")</f>
        <v/>
      </c>
      <c r="N329" s="301" t="str">
        <f>IF(AND('PT Fee'!E23="Yes"),CONCATENATE(VLOOKUP('Fee Summary'!A19,'PT Fee'!$A$18:$G$167,3,FALSE)," - ",VLOOKUP('Fee Summary'!A19,'PT Fee'!$A$18:$G$167,4,FALSE)),"")</f>
        <v/>
      </c>
      <c r="O329" s="301" t="str">
        <f>IF(AND('PT Fee'!E23="Yes"),VLOOKUP('Fee Summary'!A19,'PT Fee'!$A$18:$G$167,7,FALSE),"")</f>
        <v/>
      </c>
      <c r="AH329" s="457"/>
    </row>
    <row r="330" spans="11:34" ht="15.75" hidden="1" x14ac:dyDescent="0.25">
      <c r="K330" s="301" t="str">
        <f>IF(ISERROR(RANK(L330,$L$23:$L$473,1)+COUNTIF($L$23:L330,L330)-1)=TRUE,"",RANK(L330,$L$23:$L$473,1)+COUNTIF($L$23:L330,L330)-1)</f>
        <v/>
      </c>
      <c r="L330" s="301" t="str">
        <f t="shared" si="37"/>
        <v/>
      </c>
      <c r="M330" s="301" t="str">
        <f>IF(AND('PT Fee'!E24="Yes"),VLOOKUP('Fee Summary'!A20,'PT Fee'!$A$18:$G$167,2,FALSE),"")</f>
        <v/>
      </c>
      <c r="N330" s="301" t="str">
        <f>IF(AND('PT Fee'!E24="Yes"),CONCATENATE(VLOOKUP('Fee Summary'!A20,'PT Fee'!$A$18:$G$167,3,FALSE)," - ",VLOOKUP('Fee Summary'!A20,'PT Fee'!$A$18:$G$167,4,FALSE)),"")</f>
        <v/>
      </c>
      <c r="O330" s="301" t="str">
        <f>IF(AND('PT Fee'!E24="Yes"),VLOOKUP('Fee Summary'!A20,'PT Fee'!$A$18:$G$167,7,FALSE),"")</f>
        <v/>
      </c>
      <c r="AH330" s="457"/>
    </row>
    <row r="331" spans="11:34" ht="15.75" hidden="1" x14ac:dyDescent="0.25">
      <c r="K331" s="301" t="str">
        <f>IF(ISERROR(RANK(L331,$L$23:$L$473,1)+COUNTIF($L$23:L331,L331)-1)=TRUE,"",RANK(L331,$L$23:$L$473,1)+COUNTIF($L$23:L331,L331)-1)</f>
        <v/>
      </c>
      <c r="L331" s="301" t="str">
        <f t="shared" si="37"/>
        <v/>
      </c>
      <c r="M331" s="301" t="str">
        <f>IF(AND('PT Fee'!E25="Yes"),VLOOKUP('Fee Summary'!A21,'PT Fee'!$A$18:$G$167,2,FALSE),"")</f>
        <v/>
      </c>
      <c r="N331" s="301" t="str">
        <f>IF(AND('PT Fee'!E25="Yes"),CONCATENATE(VLOOKUP('Fee Summary'!A21,'PT Fee'!$A$18:$G$167,3,FALSE)," - ",VLOOKUP('Fee Summary'!A21,'PT Fee'!$A$18:$G$167,4,FALSE)),"")</f>
        <v/>
      </c>
      <c r="O331" s="301" t="str">
        <f>IF(AND('PT Fee'!E25="Yes"),VLOOKUP('Fee Summary'!A21,'PT Fee'!$A$18:$G$167,7,FALSE),"")</f>
        <v/>
      </c>
      <c r="AH331" s="457"/>
    </row>
    <row r="332" spans="11:34" ht="15.75" hidden="1" x14ac:dyDescent="0.25">
      <c r="K332" s="301" t="str">
        <f>IF(ISERROR(RANK(L332,$L$23:$L$473,1)+COUNTIF($L$23:L332,L332)-1)=TRUE,"",RANK(L332,$L$23:$L$473,1)+COUNTIF($L$23:L332,L332)-1)</f>
        <v/>
      </c>
      <c r="L332" s="301" t="str">
        <f t="shared" si="37"/>
        <v/>
      </c>
      <c r="M332" s="301" t="str">
        <f>IF(AND('PT Fee'!E26="Yes"),VLOOKUP('Fee Summary'!A22,'PT Fee'!$A$18:$G$167,2,FALSE),"")</f>
        <v/>
      </c>
      <c r="N332" s="301" t="str">
        <f>IF(AND('PT Fee'!E26="Yes"),CONCATENATE(VLOOKUP('Fee Summary'!A22,'PT Fee'!$A$18:$G$167,3,FALSE)," - ",VLOOKUP('Fee Summary'!A22,'PT Fee'!$A$18:$G$167,4,FALSE)),"")</f>
        <v/>
      </c>
      <c r="O332" s="301" t="str">
        <f>IF(AND('PT Fee'!E26="Yes"),VLOOKUP('Fee Summary'!A22,'PT Fee'!$A$18:$G$167,7,FALSE),"")</f>
        <v/>
      </c>
      <c r="AH332" s="457"/>
    </row>
    <row r="333" spans="11:34" ht="15.75" hidden="1" x14ac:dyDescent="0.25">
      <c r="K333" s="301" t="str">
        <f>IF(ISERROR(RANK(L333,$L$23:$L$473,1)+COUNTIF($L$23:L333,L333)-1)=TRUE,"",RANK(L333,$L$23:$L$473,1)+COUNTIF($L$23:L333,L333)-1)</f>
        <v/>
      </c>
      <c r="L333" s="301" t="str">
        <f t="shared" si="37"/>
        <v/>
      </c>
      <c r="M333" s="301" t="str">
        <f>IF(AND('PT Fee'!E27="Yes"),VLOOKUP('Fee Summary'!A23,'PT Fee'!$A$18:$G$167,2,FALSE),"")</f>
        <v/>
      </c>
      <c r="N333" s="301" t="str">
        <f>IF(AND('PT Fee'!E27="Yes"),CONCATENATE(VLOOKUP('Fee Summary'!A23,'PT Fee'!$A$18:$G$167,3,FALSE)," - ",VLOOKUP('Fee Summary'!A23,'PT Fee'!$A$18:$G$167,4,FALSE)),"")</f>
        <v/>
      </c>
      <c r="O333" s="301" t="str">
        <f>IF(AND('PT Fee'!E27="Yes"),VLOOKUP('Fee Summary'!A23,'PT Fee'!$A$18:$G$167,7,FALSE),"")</f>
        <v/>
      </c>
      <c r="AH333" s="457"/>
    </row>
    <row r="334" spans="11:34" ht="15.75" hidden="1" x14ac:dyDescent="0.25">
      <c r="K334" s="301" t="str">
        <f>IF(ISERROR(RANK(L334,$L$23:$L$473,1)+COUNTIF($L$23:L334,L334)-1)=TRUE,"",RANK(L334,$L$23:$L$473,1)+COUNTIF($L$23:L334,L334)-1)</f>
        <v/>
      </c>
      <c r="L334" s="301" t="str">
        <f t="shared" si="37"/>
        <v/>
      </c>
      <c r="M334" s="301" t="str">
        <f>IF(AND('PT Fee'!E28="Yes"),VLOOKUP('Fee Summary'!A24,'PT Fee'!$A$18:$G$167,2,FALSE),"")</f>
        <v/>
      </c>
      <c r="N334" s="301" t="str">
        <f>IF(AND('PT Fee'!E28="Yes"),CONCATENATE(VLOOKUP('Fee Summary'!A24,'PT Fee'!$A$18:$G$167,3,FALSE)," - ",VLOOKUP('Fee Summary'!A24,'PT Fee'!$A$18:$G$167,4,FALSE)),"")</f>
        <v/>
      </c>
      <c r="O334" s="301" t="str">
        <f>IF(AND('PT Fee'!E28="Yes"),VLOOKUP('Fee Summary'!A24,'PT Fee'!$A$18:$G$167,7,FALSE),"")</f>
        <v/>
      </c>
      <c r="AH334" s="457"/>
    </row>
    <row r="335" spans="11:34" ht="15.75" hidden="1" x14ac:dyDescent="0.25">
      <c r="K335" s="301" t="str">
        <f>IF(ISERROR(RANK(L335,$L$23:$L$473,1)+COUNTIF($L$23:L335,L335)-1)=TRUE,"",RANK(L335,$L$23:$L$473,1)+COUNTIF($L$23:L335,L335)-1)</f>
        <v/>
      </c>
      <c r="L335" s="301" t="str">
        <f t="shared" si="37"/>
        <v/>
      </c>
      <c r="M335" s="301" t="str">
        <f>IF(AND('PT Fee'!E29="Yes"),VLOOKUP('Fee Summary'!A25,'PT Fee'!$A$18:$G$167,2,FALSE),"")</f>
        <v/>
      </c>
      <c r="N335" s="301" t="str">
        <f>IF(AND('PT Fee'!E29="Yes"),CONCATENATE(VLOOKUP('Fee Summary'!A25,'PT Fee'!$A$18:$G$167,3,FALSE)," - ",VLOOKUP('Fee Summary'!A25,'PT Fee'!$A$18:$G$167,4,FALSE)),"")</f>
        <v/>
      </c>
      <c r="O335" s="301" t="str">
        <f>IF(AND('PT Fee'!E29="Yes"),VLOOKUP('Fee Summary'!A25,'PT Fee'!$A$18:$G$167,7,FALSE),"")</f>
        <v/>
      </c>
      <c r="AH335" s="457"/>
    </row>
    <row r="336" spans="11:34" ht="15.75" hidden="1" x14ac:dyDescent="0.25">
      <c r="K336" s="301" t="str">
        <f>IF(ISERROR(RANK(L336,$L$23:$L$473,1)+COUNTIF($L$23:L336,L336)-1)=TRUE,"",RANK(L336,$L$23:$L$473,1)+COUNTIF($L$23:L336,L336)-1)</f>
        <v/>
      </c>
      <c r="L336" s="301" t="str">
        <f t="shared" si="37"/>
        <v/>
      </c>
      <c r="M336" s="301" t="str">
        <f>IF(AND('PT Fee'!E30="Yes"),VLOOKUP('Fee Summary'!A26,'PT Fee'!$A$18:$G$167,2,FALSE),"")</f>
        <v/>
      </c>
      <c r="N336" s="301" t="str">
        <f>IF(AND('PT Fee'!E30="Yes"),CONCATENATE(VLOOKUP('Fee Summary'!A26,'PT Fee'!$A$18:$G$167,3,FALSE)," - ",VLOOKUP('Fee Summary'!A26,'PT Fee'!$A$18:$G$167,4,FALSE)),"")</f>
        <v/>
      </c>
      <c r="O336" s="301" t="str">
        <f>IF(AND('PT Fee'!E30="Yes"),VLOOKUP('Fee Summary'!A26,'PT Fee'!$A$18:$G$167,7,FALSE),"")</f>
        <v/>
      </c>
      <c r="AH336" s="457"/>
    </row>
    <row r="337" spans="11:34" ht="15.75" hidden="1" x14ac:dyDescent="0.25">
      <c r="K337" s="301" t="str">
        <f>IF(ISERROR(RANK(L337,$L$23:$L$473,1)+COUNTIF($L$23:L337,L337)-1)=TRUE,"",RANK(L337,$L$23:$L$473,1)+COUNTIF($L$23:L337,L337)-1)</f>
        <v/>
      </c>
      <c r="L337" s="301" t="str">
        <f t="shared" si="37"/>
        <v/>
      </c>
      <c r="M337" s="301" t="str">
        <f>IF(AND('PT Fee'!E31="Yes"),VLOOKUP('Fee Summary'!A27,'PT Fee'!$A$18:$G$167,2,FALSE),"")</f>
        <v/>
      </c>
      <c r="N337" s="301" t="str">
        <f>IF(AND('PT Fee'!E31="Yes"),CONCATENATE(VLOOKUP('Fee Summary'!A27,'PT Fee'!$A$18:$G$167,3,FALSE)," - ",VLOOKUP('Fee Summary'!A27,'PT Fee'!$A$18:$G$167,4,FALSE)),"")</f>
        <v/>
      </c>
      <c r="O337" s="301" t="str">
        <f>IF(AND('PT Fee'!E31="Yes"),VLOOKUP('Fee Summary'!A27,'PT Fee'!$A$18:$G$167,7,FALSE),"")</f>
        <v/>
      </c>
      <c r="AH337" s="457"/>
    </row>
    <row r="338" spans="11:34" ht="15.75" hidden="1" x14ac:dyDescent="0.25">
      <c r="K338" s="301" t="str">
        <f>IF(ISERROR(RANK(L338,$L$23:$L$473,1)+COUNTIF($L$23:L338,L338)-1)=TRUE,"",RANK(L338,$L$23:$L$473,1)+COUNTIF($L$23:L338,L338)-1)</f>
        <v/>
      </c>
      <c r="L338" s="301" t="str">
        <f t="shared" si="37"/>
        <v/>
      </c>
      <c r="M338" s="301" t="str">
        <f>IF(AND('PT Fee'!E32="Yes"),VLOOKUP('Fee Summary'!A28,'PT Fee'!$A$18:$G$167,2,FALSE),"")</f>
        <v/>
      </c>
      <c r="N338" s="301" t="str">
        <f>IF(AND('PT Fee'!E32="Yes"),CONCATENATE(VLOOKUP('Fee Summary'!A28,'PT Fee'!$A$18:$G$167,3,FALSE)," - ",VLOOKUP('Fee Summary'!A28,'PT Fee'!$A$18:$G$167,4,FALSE)),"")</f>
        <v/>
      </c>
      <c r="O338" s="301" t="str">
        <f>IF(AND('PT Fee'!E32="Yes"),VLOOKUP('Fee Summary'!A28,'PT Fee'!$A$18:$G$167,7,FALSE),"")</f>
        <v/>
      </c>
      <c r="AH338" s="457"/>
    </row>
    <row r="339" spans="11:34" ht="15.75" hidden="1" x14ac:dyDescent="0.25">
      <c r="K339" s="301" t="str">
        <f>IF(ISERROR(RANK(L339,$L$23:$L$473,1)+COUNTIF($L$23:L339,L339)-1)=TRUE,"",RANK(L339,$L$23:$L$473,1)+COUNTIF($L$23:L339,L339)-1)</f>
        <v/>
      </c>
      <c r="L339" s="301" t="str">
        <f t="shared" si="37"/>
        <v/>
      </c>
      <c r="M339" s="301" t="str">
        <f>IF(AND('PT Fee'!E33="Yes"),VLOOKUP('Fee Summary'!A29,'PT Fee'!$A$18:$G$167,2,FALSE),"")</f>
        <v/>
      </c>
      <c r="N339" s="301" t="str">
        <f>IF(AND('PT Fee'!E33="Yes"),CONCATENATE(VLOOKUP('Fee Summary'!A29,'PT Fee'!$A$18:$G$167,3,FALSE)," - ",VLOOKUP('Fee Summary'!A29,'PT Fee'!$A$18:$G$167,4,FALSE)),"")</f>
        <v/>
      </c>
      <c r="O339" s="301" t="str">
        <f>IF(AND('PT Fee'!E33="Yes"),VLOOKUP('Fee Summary'!A29,'PT Fee'!$A$18:$G$167,7,FALSE),"")</f>
        <v/>
      </c>
      <c r="AH339" s="457"/>
    </row>
    <row r="340" spans="11:34" ht="15.75" hidden="1" x14ac:dyDescent="0.25">
      <c r="K340" s="301" t="str">
        <f>IF(ISERROR(RANK(L340,$L$23:$L$473,1)+COUNTIF($L$23:L340,L340)-1)=TRUE,"",RANK(L340,$L$23:$L$473,1)+COUNTIF($L$23:L340,L340)-1)</f>
        <v/>
      </c>
      <c r="L340" s="301" t="str">
        <f t="shared" si="37"/>
        <v/>
      </c>
      <c r="M340" s="301" t="str">
        <f>IF(AND('PT Fee'!E34="Yes"),VLOOKUP('Fee Summary'!A30,'PT Fee'!$A$18:$G$167,2,FALSE),"")</f>
        <v/>
      </c>
      <c r="N340" s="301" t="str">
        <f>IF(AND('PT Fee'!E34="Yes"),CONCATENATE(VLOOKUP('Fee Summary'!A30,'PT Fee'!$A$18:$G$167,3,FALSE)," - ",VLOOKUP('Fee Summary'!A30,'PT Fee'!$A$18:$G$167,4,FALSE)),"")</f>
        <v/>
      </c>
      <c r="O340" s="301" t="str">
        <f>IF(AND('PT Fee'!E34="Yes"),VLOOKUP('Fee Summary'!A30,'PT Fee'!$A$18:$G$167,7,FALSE),"")</f>
        <v/>
      </c>
      <c r="AH340" s="457"/>
    </row>
    <row r="341" spans="11:34" ht="15.75" hidden="1" x14ac:dyDescent="0.25">
      <c r="K341" s="301" t="str">
        <f>IF(ISERROR(RANK(L341,$L$23:$L$473,1)+COUNTIF($L$23:L341,L341)-1)=TRUE,"",RANK(L341,$L$23:$L$473,1)+COUNTIF($L$23:L341,L341)-1)</f>
        <v/>
      </c>
      <c r="L341" s="301" t="str">
        <f t="shared" si="37"/>
        <v/>
      </c>
      <c r="M341" s="301" t="str">
        <f>IF(AND('PT Fee'!E35="Yes"),VLOOKUP('Fee Summary'!A31,'PT Fee'!$A$18:$G$167,2,FALSE),"")</f>
        <v/>
      </c>
      <c r="N341" s="301" t="str">
        <f>IF(AND('PT Fee'!E35="Yes"),CONCATENATE(VLOOKUP('Fee Summary'!A31,'PT Fee'!$A$18:$G$167,3,FALSE)," - ",VLOOKUP('Fee Summary'!A31,'PT Fee'!$A$18:$G$167,4,FALSE)),"")</f>
        <v/>
      </c>
      <c r="O341" s="301" t="str">
        <f>IF(AND('PT Fee'!E35="Yes"),VLOOKUP('Fee Summary'!A31,'PT Fee'!$A$18:$G$167,7,FALSE),"")</f>
        <v/>
      </c>
      <c r="AH341" s="457"/>
    </row>
    <row r="342" spans="11:34" ht="15.75" hidden="1" x14ac:dyDescent="0.25">
      <c r="K342" s="301" t="str">
        <f>IF(ISERROR(RANK(L342,$L$23:$L$473,1)+COUNTIF($L$23:L342,L342)-1)=TRUE,"",RANK(L342,$L$23:$L$473,1)+COUNTIF($L$23:L342,L342)-1)</f>
        <v/>
      </c>
      <c r="L342" s="301" t="str">
        <f t="shared" si="37"/>
        <v/>
      </c>
      <c r="M342" s="301" t="str">
        <f>IF(AND('PT Fee'!E36="Yes"),VLOOKUP('Fee Summary'!A32,'PT Fee'!$A$18:$G$167,2,FALSE),"")</f>
        <v/>
      </c>
      <c r="N342" s="301" t="str">
        <f>IF(AND('PT Fee'!E36="Yes"),CONCATENATE(VLOOKUP('Fee Summary'!A32,'PT Fee'!$A$18:$G$167,3,FALSE)," - ",VLOOKUP('Fee Summary'!A32,'PT Fee'!$A$18:$G$167,4,FALSE)),"")</f>
        <v/>
      </c>
      <c r="O342" s="301" t="str">
        <f>IF(AND('PT Fee'!E36="Yes"),VLOOKUP('Fee Summary'!A32,'PT Fee'!$A$18:$G$167,7,FALSE),"")</f>
        <v/>
      </c>
      <c r="AH342" s="457"/>
    </row>
    <row r="343" spans="11:34" ht="15.75" hidden="1" x14ac:dyDescent="0.25">
      <c r="K343" s="301" t="str">
        <f>IF(ISERROR(RANK(L343,$L$23:$L$473,1)+COUNTIF($L$23:L343,L343)-1)=TRUE,"",RANK(L343,$L$23:$L$473,1)+COUNTIF($L$23:L343,L343)-1)</f>
        <v/>
      </c>
      <c r="L343" s="301" t="str">
        <f t="shared" si="37"/>
        <v/>
      </c>
      <c r="M343" s="301" t="str">
        <f>IF(AND('PT Fee'!E37="Yes"),VLOOKUP('Fee Summary'!A33,'PT Fee'!$A$18:$G$167,2,FALSE),"")</f>
        <v/>
      </c>
      <c r="N343" s="301" t="str">
        <f>IF(AND('PT Fee'!E37="Yes"),CONCATENATE(VLOOKUP('Fee Summary'!A33,'PT Fee'!$A$18:$G$167,3,FALSE)," - ",VLOOKUP('Fee Summary'!A33,'PT Fee'!$A$18:$G$167,4,FALSE)),"")</f>
        <v/>
      </c>
      <c r="O343" s="301" t="str">
        <f>IF(AND('PT Fee'!E37="Yes"),VLOOKUP('Fee Summary'!A33,'PT Fee'!$A$18:$G$167,7,FALSE),"")</f>
        <v/>
      </c>
      <c r="AH343" s="457"/>
    </row>
    <row r="344" spans="11:34" ht="15.75" hidden="1" x14ac:dyDescent="0.25">
      <c r="K344" s="301" t="str">
        <f>IF(ISERROR(RANK(L344,$L$23:$L$473,1)+COUNTIF($L$23:L344,L344)-1)=TRUE,"",RANK(L344,$L$23:$L$473,1)+COUNTIF($L$23:L344,L344)-1)</f>
        <v/>
      </c>
      <c r="L344" s="301" t="str">
        <f t="shared" si="37"/>
        <v/>
      </c>
      <c r="M344" s="301" t="str">
        <f>IF(AND('PT Fee'!E38="Yes"),VLOOKUP('Fee Summary'!A34,'PT Fee'!$A$18:$G$167,2,FALSE),"")</f>
        <v/>
      </c>
      <c r="N344" s="301" t="str">
        <f>IF(AND('PT Fee'!E38="Yes"),CONCATENATE(VLOOKUP('Fee Summary'!A34,'PT Fee'!$A$18:$G$167,3,FALSE)," - ",VLOOKUP('Fee Summary'!A34,'PT Fee'!$A$18:$G$167,4,FALSE)),"")</f>
        <v/>
      </c>
      <c r="O344" s="301" t="str">
        <f>IF(AND('PT Fee'!E38="Yes"),VLOOKUP('Fee Summary'!A34,'PT Fee'!$A$18:$G$167,7,FALSE),"")</f>
        <v/>
      </c>
      <c r="AH344" s="457"/>
    </row>
    <row r="345" spans="11:34" ht="15.75" hidden="1" x14ac:dyDescent="0.25">
      <c r="K345" s="301" t="str">
        <f>IF(ISERROR(RANK(L345,$L$23:$L$473,1)+COUNTIF($L$23:L345,L345)-1)=TRUE,"",RANK(L345,$L$23:$L$473,1)+COUNTIF($L$23:L345,L345)-1)</f>
        <v/>
      </c>
      <c r="L345" s="301" t="str">
        <f t="shared" si="37"/>
        <v/>
      </c>
      <c r="M345" s="301" t="str">
        <f>IF(AND('PT Fee'!E39="Yes"),VLOOKUP('Fee Summary'!A35,'PT Fee'!$A$18:$G$167,2,FALSE),"")</f>
        <v/>
      </c>
      <c r="N345" s="301" t="str">
        <f>IF(AND('PT Fee'!E39="Yes"),CONCATENATE(VLOOKUP('Fee Summary'!A35,'PT Fee'!$A$18:$G$167,3,FALSE)," - ",VLOOKUP('Fee Summary'!A35,'PT Fee'!$A$18:$G$167,4,FALSE)),"")</f>
        <v/>
      </c>
      <c r="O345" s="301" t="str">
        <f>IF(AND('PT Fee'!E39="Yes"),VLOOKUP('Fee Summary'!A35,'PT Fee'!$A$18:$G$167,7,FALSE),"")</f>
        <v/>
      </c>
      <c r="AH345" s="457"/>
    </row>
    <row r="346" spans="11:34" ht="15.75" hidden="1" x14ac:dyDescent="0.25">
      <c r="K346" s="301" t="str">
        <f>IF(ISERROR(RANK(L346,$L$23:$L$473,1)+COUNTIF($L$23:L346,L346)-1)=TRUE,"",RANK(L346,$L$23:$L$473,1)+COUNTIF($L$23:L346,L346)-1)</f>
        <v/>
      </c>
      <c r="L346" s="301" t="str">
        <f t="shared" si="37"/>
        <v/>
      </c>
      <c r="M346" s="301" t="str">
        <f>IF(AND('PT Fee'!E40="Yes"),VLOOKUP('Fee Summary'!A36,'PT Fee'!$A$18:$G$167,2,FALSE),"")</f>
        <v/>
      </c>
      <c r="N346" s="301" t="str">
        <f>IF(AND('PT Fee'!E40="Yes"),CONCATENATE(VLOOKUP('Fee Summary'!A36,'PT Fee'!$A$18:$G$167,3,FALSE)," - ",VLOOKUP('Fee Summary'!A36,'PT Fee'!$A$18:$G$167,4,FALSE)),"")</f>
        <v/>
      </c>
      <c r="O346" s="301" t="str">
        <f>IF(AND('PT Fee'!E40="Yes"),VLOOKUP('Fee Summary'!A36,'PT Fee'!$A$18:$G$167,7,FALSE),"")</f>
        <v/>
      </c>
      <c r="AH346" s="457"/>
    </row>
    <row r="347" spans="11:34" ht="15.75" hidden="1" x14ac:dyDescent="0.25">
      <c r="K347" s="301" t="str">
        <f>IF(ISERROR(RANK(L347,$L$23:$L$473,1)+COUNTIF($L$23:L347,L347)-1)=TRUE,"",RANK(L347,$L$23:$L$473,1)+COUNTIF($L$23:L347,L347)-1)</f>
        <v/>
      </c>
      <c r="L347" s="301" t="str">
        <f t="shared" si="37"/>
        <v/>
      </c>
      <c r="M347" s="301" t="str">
        <f>IF(AND('PT Fee'!E41="Yes"),VLOOKUP('Fee Summary'!A37,'PT Fee'!$A$18:$G$167,2,FALSE),"")</f>
        <v/>
      </c>
      <c r="N347" s="301" t="str">
        <f>IF(AND('PT Fee'!E41="Yes"),CONCATENATE(VLOOKUP('Fee Summary'!A37,'PT Fee'!$A$18:$G$167,3,FALSE)," - ",VLOOKUP('Fee Summary'!A37,'PT Fee'!$A$18:$G$167,4,FALSE)),"")</f>
        <v/>
      </c>
      <c r="O347" s="301" t="str">
        <f>IF(AND('PT Fee'!E41="Yes"),VLOOKUP('Fee Summary'!A37,'PT Fee'!$A$18:$G$167,7,FALSE),"")</f>
        <v/>
      </c>
      <c r="AH347" s="457"/>
    </row>
    <row r="348" spans="11:34" ht="15.75" hidden="1" x14ac:dyDescent="0.25">
      <c r="K348" s="301" t="str">
        <f>IF(ISERROR(RANK(L348,$L$23:$L$473,1)+COUNTIF($L$23:L348,L348)-1)=TRUE,"",RANK(L348,$L$23:$L$473,1)+COUNTIF($L$23:L348,L348)-1)</f>
        <v/>
      </c>
      <c r="L348" s="301" t="str">
        <f t="shared" si="37"/>
        <v/>
      </c>
      <c r="M348" s="301" t="str">
        <f>IF(AND('PT Fee'!E42="Yes"),VLOOKUP('Fee Summary'!A38,'PT Fee'!$A$18:$G$167,2,FALSE),"")</f>
        <v/>
      </c>
      <c r="N348" s="301" t="str">
        <f>IF(AND('PT Fee'!E42="Yes"),CONCATENATE(VLOOKUP('Fee Summary'!A38,'PT Fee'!$A$18:$G$167,3,FALSE)," - ",VLOOKUP('Fee Summary'!A38,'PT Fee'!$A$18:$G$167,4,FALSE)),"")</f>
        <v/>
      </c>
      <c r="O348" s="301" t="str">
        <f>IF(AND('PT Fee'!E42="Yes"),VLOOKUP('Fee Summary'!A38,'PT Fee'!$A$18:$G$167,7,FALSE),"")</f>
        <v/>
      </c>
      <c r="AH348" s="457"/>
    </row>
    <row r="349" spans="11:34" ht="15.75" hidden="1" x14ac:dyDescent="0.25">
      <c r="K349" s="301" t="str">
        <f>IF(ISERROR(RANK(L349,$L$23:$L$473,1)+COUNTIF($L$23:L349,L349)-1)=TRUE,"",RANK(L349,$L$23:$L$473,1)+COUNTIF($L$23:L349,L349)-1)</f>
        <v/>
      </c>
      <c r="L349" s="301" t="str">
        <f t="shared" si="37"/>
        <v/>
      </c>
      <c r="M349" s="301" t="str">
        <f>IF(AND('PT Fee'!E43="Yes"),VLOOKUP('Fee Summary'!A39,'PT Fee'!$A$18:$G$167,2,FALSE),"")</f>
        <v/>
      </c>
      <c r="N349" s="301" t="str">
        <f>IF(AND('PT Fee'!E43="Yes"),CONCATENATE(VLOOKUP('Fee Summary'!A39,'PT Fee'!$A$18:$G$167,3,FALSE)," - ",VLOOKUP('Fee Summary'!A39,'PT Fee'!$A$18:$G$167,4,FALSE)),"")</f>
        <v/>
      </c>
      <c r="O349" s="301" t="str">
        <f>IF(AND('PT Fee'!E43="Yes"),VLOOKUP('Fee Summary'!A39,'PT Fee'!$A$18:$G$167,7,FALSE),"")</f>
        <v/>
      </c>
      <c r="AH349" s="457"/>
    </row>
    <row r="350" spans="11:34" ht="15.75" hidden="1" x14ac:dyDescent="0.25">
      <c r="K350" s="301" t="str">
        <f>IF(ISERROR(RANK(L350,$L$23:$L$473,1)+COUNTIF($L$23:L350,L350)-1)=TRUE,"",RANK(L350,$L$23:$L$473,1)+COUNTIF($L$23:L350,L350)-1)</f>
        <v/>
      </c>
      <c r="L350" s="301" t="str">
        <f t="shared" si="37"/>
        <v/>
      </c>
      <c r="M350" s="301" t="str">
        <f>IF(AND('PT Fee'!E44="Yes"),VLOOKUP('Fee Summary'!A40,'PT Fee'!$A$18:$G$167,2,FALSE),"")</f>
        <v/>
      </c>
      <c r="N350" s="301" t="str">
        <f>IF(AND('PT Fee'!E44="Yes"),CONCATENATE(VLOOKUP('Fee Summary'!A40,'PT Fee'!$A$18:$G$167,3,FALSE)," - ",VLOOKUP('Fee Summary'!A40,'PT Fee'!$A$18:$G$167,4,FALSE)),"")</f>
        <v/>
      </c>
      <c r="O350" s="301" t="str">
        <f>IF(AND('PT Fee'!E44="Yes"),VLOOKUP('Fee Summary'!A40,'PT Fee'!$A$18:$G$167,7,FALSE),"")</f>
        <v/>
      </c>
      <c r="AH350" s="457"/>
    </row>
    <row r="351" spans="11:34" ht="15.75" hidden="1" x14ac:dyDescent="0.25">
      <c r="K351" s="301" t="str">
        <f>IF(ISERROR(RANK(L351,$L$23:$L$473,1)+COUNTIF($L$23:L351,L351)-1)=TRUE,"",RANK(L351,$L$23:$L$473,1)+COUNTIF($L$23:L351,L351)-1)</f>
        <v/>
      </c>
      <c r="L351" s="301" t="str">
        <f t="shared" si="37"/>
        <v/>
      </c>
      <c r="M351" s="301" t="str">
        <f>IF(AND('PT Fee'!E45="Yes"),VLOOKUP('Fee Summary'!A41,'PT Fee'!$A$18:$G$167,2,FALSE),"")</f>
        <v/>
      </c>
      <c r="N351" s="301" t="str">
        <f>IF(AND('PT Fee'!E45="Yes"),CONCATENATE(VLOOKUP('Fee Summary'!A41,'PT Fee'!$A$18:$G$167,3,FALSE)," - ",VLOOKUP('Fee Summary'!A41,'PT Fee'!$A$18:$G$167,4,FALSE)),"")</f>
        <v/>
      </c>
      <c r="O351" s="301" t="str">
        <f>IF(AND('PT Fee'!E45="Yes"),VLOOKUP('Fee Summary'!A41,'PT Fee'!$A$18:$G$167,7,FALSE),"")</f>
        <v/>
      </c>
      <c r="AH351" s="457"/>
    </row>
    <row r="352" spans="11:34" ht="15.75" hidden="1" x14ac:dyDescent="0.25">
      <c r="K352" s="301" t="str">
        <f>IF(ISERROR(RANK(L352,$L$23:$L$473,1)+COUNTIF($L$23:L352,L352)-1)=TRUE,"",RANK(L352,$L$23:$L$473,1)+COUNTIF($L$23:L352,L352)-1)</f>
        <v/>
      </c>
      <c r="L352" s="301" t="str">
        <f t="shared" si="37"/>
        <v/>
      </c>
      <c r="M352" s="301" t="str">
        <f>IF(AND('PT Fee'!E46="Yes"),VLOOKUP('Fee Summary'!A42,'PT Fee'!$A$18:$G$167,2,FALSE),"")</f>
        <v/>
      </c>
      <c r="N352" s="301" t="str">
        <f>IF(AND('PT Fee'!E46="Yes"),CONCATENATE(VLOOKUP('Fee Summary'!A42,'PT Fee'!$A$18:$G$167,3,FALSE)," - ",VLOOKUP('Fee Summary'!A42,'PT Fee'!$A$18:$G$167,4,FALSE)),"")</f>
        <v/>
      </c>
      <c r="O352" s="301" t="str">
        <f>IF(AND('PT Fee'!E46="Yes"),VLOOKUP('Fee Summary'!A42,'PT Fee'!$A$18:$G$167,7,FALSE),"")</f>
        <v/>
      </c>
      <c r="AH352" s="457"/>
    </row>
    <row r="353" spans="11:34" ht="15.75" hidden="1" x14ac:dyDescent="0.25">
      <c r="K353" s="301" t="str">
        <f>IF(ISERROR(RANK(L353,$L$23:$L$473,1)+COUNTIF($L$23:L353,L353)-1)=TRUE,"",RANK(L353,$L$23:$L$473,1)+COUNTIF($L$23:L353,L353)-1)</f>
        <v/>
      </c>
      <c r="L353" s="301" t="str">
        <f t="shared" si="37"/>
        <v/>
      </c>
      <c r="M353" s="301" t="str">
        <f>IF(AND('PT Fee'!E47="Yes"),VLOOKUP('Fee Summary'!A43,'PT Fee'!$A$18:$G$167,2,FALSE),"")</f>
        <v/>
      </c>
      <c r="N353" s="301" t="str">
        <f>IF(AND('PT Fee'!E47="Yes"),CONCATENATE(VLOOKUP('Fee Summary'!A43,'PT Fee'!$A$18:$G$167,3,FALSE)," - ",VLOOKUP('Fee Summary'!A43,'PT Fee'!$A$18:$G$167,4,FALSE)),"")</f>
        <v/>
      </c>
      <c r="O353" s="301" t="str">
        <f>IF(AND('PT Fee'!E47="Yes"),VLOOKUP('Fee Summary'!A43,'PT Fee'!$A$18:$G$167,7,FALSE),"")</f>
        <v/>
      </c>
      <c r="AH353" s="457"/>
    </row>
    <row r="354" spans="11:34" ht="15.75" hidden="1" x14ac:dyDescent="0.25">
      <c r="K354" s="301" t="str">
        <f>IF(ISERROR(RANK(L354,$L$23:$L$473,1)+COUNTIF($L$23:L354,L354)-1)=TRUE,"",RANK(L354,$L$23:$L$473,1)+COUNTIF($L$23:L354,L354)-1)</f>
        <v/>
      </c>
      <c r="L354" s="301" t="str">
        <f t="shared" si="37"/>
        <v/>
      </c>
      <c r="M354" s="301" t="str">
        <f>IF(AND('PT Fee'!E48="Yes"),VLOOKUP('Fee Summary'!A44,'PT Fee'!$A$18:$G$167,2,FALSE),"")</f>
        <v/>
      </c>
      <c r="N354" s="301" t="str">
        <f>IF(AND('PT Fee'!E48="Yes"),CONCATENATE(VLOOKUP('Fee Summary'!A44,'PT Fee'!$A$18:$G$167,3,FALSE)," - ",VLOOKUP('Fee Summary'!A44,'PT Fee'!$A$18:$G$167,4,FALSE)),"")</f>
        <v/>
      </c>
      <c r="O354" s="301" t="str">
        <f>IF(AND('PT Fee'!E48="Yes"),VLOOKUP('Fee Summary'!A44,'PT Fee'!$A$18:$G$167,7,FALSE),"")</f>
        <v/>
      </c>
      <c r="AH354" s="457"/>
    </row>
    <row r="355" spans="11:34" ht="15.75" hidden="1" x14ac:dyDescent="0.25">
      <c r="K355" s="301" t="str">
        <f>IF(ISERROR(RANK(L355,$L$23:$L$473,1)+COUNTIF($L$23:L355,L355)-1)=TRUE,"",RANK(L355,$L$23:$L$473,1)+COUNTIF($L$23:L355,L355)-1)</f>
        <v/>
      </c>
      <c r="L355" s="301" t="str">
        <f t="shared" si="37"/>
        <v/>
      </c>
      <c r="M355" s="301" t="str">
        <f>IF(AND('PT Fee'!E49="Yes"),VLOOKUP('Fee Summary'!A45,'PT Fee'!$A$18:$G$167,2,FALSE),"")</f>
        <v/>
      </c>
      <c r="N355" s="301" t="str">
        <f>IF(AND('PT Fee'!E49="Yes"),CONCATENATE(VLOOKUP('Fee Summary'!A45,'PT Fee'!$A$18:$G$167,3,FALSE)," - ",VLOOKUP('Fee Summary'!A45,'PT Fee'!$A$18:$G$167,4,FALSE)),"")</f>
        <v/>
      </c>
      <c r="O355" s="301" t="str">
        <f>IF(AND('PT Fee'!E49="Yes"),VLOOKUP('Fee Summary'!A45,'PT Fee'!$A$18:$G$167,7,FALSE),"")</f>
        <v/>
      </c>
      <c r="AH355" s="457"/>
    </row>
    <row r="356" spans="11:34" ht="15.75" hidden="1" x14ac:dyDescent="0.25">
      <c r="K356" s="301" t="str">
        <f>IF(ISERROR(RANK(L356,$L$23:$L$473,1)+COUNTIF($L$23:L356,L356)-1)=TRUE,"",RANK(L356,$L$23:$L$473,1)+COUNTIF($L$23:L356,L356)-1)</f>
        <v/>
      </c>
      <c r="L356" s="301" t="str">
        <f t="shared" ref="L356:L387" si="38">IF(ISERROR(VLOOKUP(M356,$S$10:$S$20,1,FALSE))=TRUE,"",VLOOKUP(M356,$S$10:$U$20,2,FALSE))</f>
        <v/>
      </c>
      <c r="M356" s="301" t="str">
        <f>IF(AND('PT Fee'!E50="Yes"),VLOOKUP('Fee Summary'!A46,'PT Fee'!$A$18:$G$167,2,FALSE),"")</f>
        <v/>
      </c>
      <c r="N356" s="301" t="str">
        <f>IF(AND('PT Fee'!E50="Yes"),CONCATENATE(VLOOKUP('Fee Summary'!A46,'PT Fee'!$A$18:$G$167,3,FALSE)," - ",VLOOKUP('Fee Summary'!A46,'PT Fee'!$A$18:$G$167,4,FALSE)),"")</f>
        <v/>
      </c>
      <c r="O356" s="301" t="str">
        <f>IF(AND('PT Fee'!E50="Yes"),VLOOKUP('Fee Summary'!A46,'PT Fee'!$A$18:$G$167,7,FALSE),"")</f>
        <v/>
      </c>
      <c r="AH356" s="457"/>
    </row>
    <row r="357" spans="11:34" ht="15.75" hidden="1" x14ac:dyDescent="0.25">
      <c r="K357" s="301" t="str">
        <f>IF(ISERROR(RANK(L357,$L$23:$L$473,1)+COUNTIF($L$23:L357,L357)-1)=TRUE,"",RANK(L357,$L$23:$L$473,1)+COUNTIF($L$23:L357,L357)-1)</f>
        <v/>
      </c>
      <c r="L357" s="301" t="str">
        <f t="shared" si="38"/>
        <v/>
      </c>
      <c r="M357" s="301" t="str">
        <f>IF(AND('PT Fee'!E51="Yes"),VLOOKUP('Fee Summary'!A47,'PT Fee'!$A$18:$G$167,2,FALSE),"")</f>
        <v/>
      </c>
      <c r="N357" s="301" t="str">
        <f>IF(AND('PT Fee'!E51="Yes"),CONCATENATE(VLOOKUP('Fee Summary'!A47,'PT Fee'!$A$18:$G$167,3,FALSE)," - ",VLOOKUP('Fee Summary'!A47,'PT Fee'!$A$18:$G$167,4,FALSE)),"")</f>
        <v/>
      </c>
      <c r="O357" s="301" t="str">
        <f>IF(AND('PT Fee'!E51="Yes"),VLOOKUP('Fee Summary'!A47,'PT Fee'!$A$18:$G$167,7,FALSE),"")</f>
        <v/>
      </c>
      <c r="AH357" s="457"/>
    </row>
    <row r="358" spans="11:34" ht="15.75" hidden="1" x14ac:dyDescent="0.25">
      <c r="K358" s="301" t="str">
        <f>IF(ISERROR(RANK(L358,$L$23:$L$473,1)+COUNTIF($L$23:L358,L358)-1)=TRUE,"",RANK(L358,$L$23:$L$473,1)+COUNTIF($L$23:L358,L358)-1)</f>
        <v/>
      </c>
      <c r="L358" s="301" t="str">
        <f t="shared" si="38"/>
        <v/>
      </c>
      <c r="M358" s="301" t="str">
        <f>IF(AND('PT Fee'!E52="Yes"),VLOOKUP('Fee Summary'!A48,'PT Fee'!$A$18:$G$167,2,FALSE),"")</f>
        <v/>
      </c>
      <c r="N358" s="301" t="str">
        <f>IF(AND('PT Fee'!E52="Yes"),CONCATENATE(VLOOKUP('Fee Summary'!A48,'PT Fee'!$A$18:$G$167,3,FALSE)," - ",VLOOKUP('Fee Summary'!A48,'PT Fee'!$A$18:$G$167,4,FALSE)),"")</f>
        <v/>
      </c>
      <c r="O358" s="301" t="str">
        <f>IF(AND('PT Fee'!E52="Yes"),VLOOKUP('Fee Summary'!A48,'PT Fee'!$A$18:$G$167,7,FALSE),"")</f>
        <v/>
      </c>
      <c r="AH358" s="457"/>
    </row>
    <row r="359" spans="11:34" ht="15.75" hidden="1" x14ac:dyDescent="0.25">
      <c r="K359" s="301" t="str">
        <f>IF(ISERROR(RANK(L359,$L$23:$L$473,1)+COUNTIF($L$23:L359,L359)-1)=TRUE,"",RANK(L359,$L$23:$L$473,1)+COUNTIF($L$23:L359,L359)-1)</f>
        <v/>
      </c>
      <c r="L359" s="301" t="str">
        <f t="shared" si="38"/>
        <v/>
      </c>
      <c r="M359" s="301" t="str">
        <f>IF(AND('PT Fee'!E53="Yes"),VLOOKUP('Fee Summary'!A49,'PT Fee'!$A$18:$G$167,2,FALSE),"")</f>
        <v/>
      </c>
      <c r="N359" s="301" t="str">
        <f>IF(AND('PT Fee'!E53="Yes"),CONCATENATE(VLOOKUP('Fee Summary'!A49,'PT Fee'!$A$18:$G$167,3,FALSE)," - ",VLOOKUP('Fee Summary'!A49,'PT Fee'!$A$18:$G$167,4,FALSE)),"")</f>
        <v/>
      </c>
      <c r="O359" s="301" t="str">
        <f>IF(AND('PT Fee'!E53="Yes"),VLOOKUP('Fee Summary'!A49,'PT Fee'!$A$18:$G$167,7,FALSE),"")</f>
        <v/>
      </c>
      <c r="AH359" s="457"/>
    </row>
    <row r="360" spans="11:34" ht="15.75" hidden="1" x14ac:dyDescent="0.25">
      <c r="K360" s="301" t="str">
        <f>IF(ISERROR(RANK(L360,$L$23:$L$473,1)+COUNTIF($L$23:L360,L360)-1)=TRUE,"",RANK(L360,$L$23:$L$473,1)+COUNTIF($L$23:L360,L360)-1)</f>
        <v/>
      </c>
      <c r="L360" s="301" t="str">
        <f t="shared" si="38"/>
        <v/>
      </c>
      <c r="M360" s="301" t="str">
        <f>IF(AND('PT Fee'!E54="Yes"),VLOOKUP('Fee Summary'!A50,'PT Fee'!$A$18:$G$167,2,FALSE),"")</f>
        <v/>
      </c>
      <c r="N360" s="301" t="str">
        <f>IF(AND('PT Fee'!E54="Yes"),CONCATENATE(VLOOKUP('Fee Summary'!A50,'PT Fee'!$A$18:$G$167,3,FALSE)," - ",VLOOKUP('Fee Summary'!A50,'PT Fee'!$A$18:$G$167,4,FALSE)),"")</f>
        <v/>
      </c>
      <c r="O360" s="301" t="str">
        <f>IF(AND('PT Fee'!E54="Yes"),VLOOKUP('Fee Summary'!A50,'PT Fee'!$A$18:$G$167,7,FALSE),"")</f>
        <v/>
      </c>
      <c r="AH360" s="457"/>
    </row>
    <row r="361" spans="11:34" ht="15.75" hidden="1" x14ac:dyDescent="0.25">
      <c r="K361" s="301" t="str">
        <f>IF(ISERROR(RANK(L361,$L$23:$L$473,1)+COUNTIF($L$23:L361,L361)-1)=TRUE,"",RANK(L361,$L$23:$L$473,1)+COUNTIF($L$23:L361,L361)-1)</f>
        <v/>
      </c>
      <c r="L361" s="301" t="str">
        <f t="shared" si="38"/>
        <v/>
      </c>
      <c r="M361" s="301" t="str">
        <f>IF(AND('PT Fee'!E55="Yes"),VLOOKUP('Fee Summary'!A51,'PT Fee'!$A$18:$G$167,2,FALSE),"")</f>
        <v/>
      </c>
      <c r="N361" s="301" t="str">
        <f>IF(AND('PT Fee'!E55="Yes"),CONCATENATE(VLOOKUP('Fee Summary'!A51,'PT Fee'!$A$18:$G$167,3,FALSE)," - ",VLOOKUP('Fee Summary'!A51,'PT Fee'!$A$18:$G$167,4,FALSE)),"")</f>
        <v/>
      </c>
      <c r="O361" s="301" t="str">
        <f>IF(AND('PT Fee'!E55="Yes"),VLOOKUP('Fee Summary'!A51,'PT Fee'!$A$18:$G$167,7,FALSE),"")</f>
        <v/>
      </c>
      <c r="AH361" s="457"/>
    </row>
    <row r="362" spans="11:34" ht="15.75" hidden="1" x14ac:dyDescent="0.25">
      <c r="K362" s="301" t="str">
        <f>IF(ISERROR(RANK(L362,$L$23:$L$473,1)+COUNTIF($L$23:L362,L362)-1)=TRUE,"",RANK(L362,$L$23:$L$473,1)+COUNTIF($L$23:L362,L362)-1)</f>
        <v/>
      </c>
      <c r="L362" s="301" t="str">
        <f t="shared" si="38"/>
        <v/>
      </c>
      <c r="M362" s="301" t="str">
        <f>IF(AND('PT Fee'!E56="Yes"),VLOOKUP('Fee Summary'!A52,'PT Fee'!$A$18:$G$167,2,FALSE),"")</f>
        <v/>
      </c>
      <c r="N362" s="301" t="str">
        <f>IF(AND('PT Fee'!E56="Yes"),CONCATENATE(VLOOKUP('Fee Summary'!A52,'PT Fee'!$A$18:$G$167,3,FALSE)," - ",VLOOKUP('Fee Summary'!A52,'PT Fee'!$A$18:$G$167,4,FALSE)),"")</f>
        <v/>
      </c>
      <c r="O362" s="301" t="str">
        <f>IF(AND('PT Fee'!E56="Yes"),VLOOKUP('Fee Summary'!A52,'PT Fee'!$A$18:$G$167,7,FALSE),"")</f>
        <v/>
      </c>
      <c r="AH362" s="457"/>
    </row>
    <row r="363" spans="11:34" ht="15.75" hidden="1" x14ac:dyDescent="0.25">
      <c r="K363" s="301" t="str">
        <f>IF(ISERROR(RANK(L363,$L$23:$L$473,1)+COUNTIF($L$23:L363,L363)-1)=TRUE,"",RANK(L363,$L$23:$L$473,1)+COUNTIF($L$23:L363,L363)-1)</f>
        <v/>
      </c>
      <c r="L363" s="301" t="str">
        <f t="shared" si="38"/>
        <v/>
      </c>
      <c r="M363" s="301" t="str">
        <f>IF(AND('PT Fee'!E57="Yes"),VLOOKUP('Fee Summary'!A53,'PT Fee'!$A$18:$G$167,2,FALSE),"")</f>
        <v/>
      </c>
      <c r="N363" s="301" t="str">
        <f>IF(AND('PT Fee'!E57="Yes"),CONCATENATE(VLOOKUP('Fee Summary'!A53,'PT Fee'!$A$18:$G$167,3,FALSE)," - ",VLOOKUP('Fee Summary'!A53,'PT Fee'!$A$18:$G$167,4,FALSE)),"")</f>
        <v/>
      </c>
      <c r="O363" s="301" t="str">
        <f>IF(AND('PT Fee'!E57="Yes"),VLOOKUP('Fee Summary'!A53,'PT Fee'!$A$18:$G$167,7,FALSE),"")</f>
        <v/>
      </c>
      <c r="AH363" s="457"/>
    </row>
    <row r="364" spans="11:34" ht="15.75" hidden="1" x14ac:dyDescent="0.25">
      <c r="K364" s="301" t="str">
        <f>IF(ISERROR(RANK(L364,$L$23:$L$473,1)+COUNTIF($L$23:L364,L364)-1)=TRUE,"",RANK(L364,$L$23:$L$473,1)+COUNTIF($L$23:L364,L364)-1)</f>
        <v/>
      </c>
      <c r="L364" s="301" t="str">
        <f t="shared" si="38"/>
        <v/>
      </c>
      <c r="M364" s="301" t="str">
        <f>IF(AND('PT Fee'!E58="Yes"),VLOOKUP('Fee Summary'!A54,'PT Fee'!$A$18:$G$167,2,FALSE),"")</f>
        <v/>
      </c>
      <c r="N364" s="301" t="str">
        <f>IF(AND('PT Fee'!E58="Yes"),CONCATENATE(VLOOKUP('Fee Summary'!A54,'PT Fee'!$A$18:$G$167,3,FALSE)," - ",VLOOKUP('Fee Summary'!A54,'PT Fee'!$A$18:$G$167,4,FALSE)),"")</f>
        <v/>
      </c>
      <c r="O364" s="301" t="str">
        <f>IF(AND('PT Fee'!E58="Yes"),VLOOKUP('Fee Summary'!A54,'PT Fee'!$A$18:$G$167,7,FALSE),"")</f>
        <v/>
      </c>
      <c r="AH364" s="457"/>
    </row>
    <row r="365" spans="11:34" ht="15.75" hidden="1" x14ac:dyDescent="0.25">
      <c r="K365" s="301" t="str">
        <f>IF(ISERROR(RANK(L365,$L$23:$L$473,1)+COUNTIF($L$23:L365,L365)-1)=TRUE,"",RANK(L365,$L$23:$L$473,1)+COUNTIF($L$23:L365,L365)-1)</f>
        <v/>
      </c>
      <c r="L365" s="301" t="str">
        <f t="shared" si="38"/>
        <v/>
      </c>
      <c r="M365" s="301" t="str">
        <f>IF(AND('PT Fee'!E59="Yes"),VLOOKUP('Fee Summary'!A55,'PT Fee'!$A$18:$G$167,2,FALSE),"")</f>
        <v/>
      </c>
      <c r="N365" s="301" t="str">
        <f>IF(AND('PT Fee'!E59="Yes"),CONCATENATE(VLOOKUP('Fee Summary'!A55,'PT Fee'!$A$18:$G$167,3,FALSE)," - ",VLOOKUP('Fee Summary'!A55,'PT Fee'!$A$18:$G$167,4,FALSE)),"")</f>
        <v/>
      </c>
      <c r="O365" s="301" t="str">
        <f>IF(AND('PT Fee'!E59="Yes"),VLOOKUP('Fee Summary'!A55,'PT Fee'!$A$18:$G$167,7,FALSE),"")</f>
        <v/>
      </c>
      <c r="AH365" s="457"/>
    </row>
    <row r="366" spans="11:34" ht="15.75" hidden="1" x14ac:dyDescent="0.25">
      <c r="K366" s="301" t="str">
        <f>IF(ISERROR(RANK(L366,$L$23:$L$473,1)+COUNTIF($L$23:L366,L366)-1)=TRUE,"",RANK(L366,$L$23:$L$473,1)+COUNTIF($L$23:L366,L366)-1)</f>
        <v/>
      </c>
      <c r="L366" s="301" t="str">
        <f t="shared" si="38"/>
        <v/>
      </c>
      <c r="M366" s="301" t="str">
        <f>IF(AND('PT Fee'!E60="Yes"),VLOOKUP('Fee Summary'!A56,'PT Fee'!$A$18:$G$167,2,FALSE),"")</f>
        <v/>
      </c>
      <c r="N366" s="301" t="str">
        <f>IF(AND('PT Fee'!E60="Yes"),CONCATENATE(VLOOKUP('Fee Summary'!A56,'PT Fee'!$A$18:$G$167,3,FALSE)," - ",VLOOKUP('Fee Summary'!A56,'PT Fee'!$A$18:$G$167,4,FALSE)),"")</f>
        <v/>
      </c>
      <c r="O366" s="301" t="str">
        <f>IF(AND('PT Fee'!E60="Yes"),VLOOKUP('Fee Summary'!A56,'PT Fee'!$A$18:$G$167,7,FALSE),"")</f>
        <v/>
      </c>
      <c r="AH366" s="457"/>
    </row>
    <row r="367" spans="11:34" ht="15.75" hidden="1" x14ac:dyDescent="0.25">
      <c r="K367" s="301" t="str">
        <f>IF(ISERROR(RANK(L367,$L$23:$L$473,1)+COUNTIF($L$23:L367,L367)-1)=TRUE,"",RANK(L367,$L$23:$L$473,1)+COUNTIF($L$23:L367,L367)-1)</f>
        <v/>
      </c>
      <c r="L367" s="301" t="str">
        <f t="shared" si="38"/>
        <v/>
      </c>
      <c r="M367" s="301" t="str">
        <f>IF(AND('PT Fee'!E61="Yes"),VLOOKUP('Fee Summary'!A57,'PT Fee'!$A$18:$G$167,2,FALSE),"")</f>
        <v/>
      </c>
      <c r="N367" s="301" t="str">
        <f>IF(AND('PT Fee'!E61="Yes"),CONCATENATE(VLOOKUP('Fee Summary'!A57,'PT Fee'!$A$18:$G$167,3,FALSE)," - ",VLOOKUP('Fee Summary'!A57,'PT Fee'!$A$18:$G$167,4,FALSE)),"")</f>
        <v/>
      </c>
      <c r="O367" s="301" t="str">
        <f>IF(AND('PT Fee'!E61="Yes"),VLOOKUP('Fee Summary'!A57,'PT Fee'!$A$18:$G$167,7,FALSE),"")</f>
        <v/>
      </c>
      <c r="AH367" s="457"/>
    </row>
    <row r="368" spans="11:34" ht="15.75" hidden="1" x14ac:dyDescent="0.25">
      <c r="K368" s="301" t="str">
        <f>IF(ISERROR(RANK(L368,$L$23:$L$473,1)+COUNTIF($L$23:L368,L368)-1)=TRUE,"",RANK(L368,$L$23:$L$473,1)+COUNTIF($L$23:L368,L368)-1)</f>
        <v/>
      </c>
      <c r="L368" s="301" t="str">
        <f t="shared" si="38"/>
        <v/>
      </c>
      <c r="M368" s="301" t="str">
        <f>IF(AND('PT Fee'!E62="Yes"),VLOOKUP('Fee Summary'!A58,'PT Fee'!$A$18:$G$167,2,FALSE),"")</f>
        <v/>
      </c>
      <c r="N368" s="301" t="str">
        <f>IF(AND('PT Fee'!E62="Yes"),CONCATENATE(VLOOKUP('Fee Summary'!A58,'PT Fee'!$A$18:$G$167,3,FALSE)," - ",VLOOKUP('Fee Summary'!A58,'PT Fee'!$A$18:$G$167,4,FALSE)),"")</f>
        <v/>
      </c>
      <c r="O368" s="301" t="str">
        <f>IF(AND('PT Fee'!E62="Yes"),VLOOKUP('Fee Summary'!A58,'PT Fee'!$A$18:$G$167,7,FALSE),"")</f>
        <v/>
      </c>
      <c r="AH368" s="457"/>
    </row>
    <row r="369" spans="11:34" ht="15.75" hidden="1" x14ac:dyDescent="0.25">
      <c r="K369" s="301" t="str">
        <f>IF(ISERROR(RANK(L369,$L$23:$L$473,1)+COUNTIF($L$23:L369,L369)-1)=TRUE,"",RANK(L369,$L$23:$L$473,1)+COUNTIF($L$23:L369,L369)-1)</f>
        <v/>
      </c>
      <c r="L369" s="301" t="str">
        <f t="shared" si="38"/>
        <v/>
      </c>
      <c r="M369" s="301" t="str">
        <f>IF(AND('PT Fee'!E63="Yes"),VLOOKUP('Fee Summary'!A59,'PT Fee'!$A$18:$G$167,2,FALSE),"")</f>
        <v/>
      </c>
      <c r="N369" s="301" t="str">
        <f>IF(AND('PT Fee'!E63="Yes"),CONCATENATE(VLOOKUP('Fee Summary'!A59,'PT Fee'!$A$18:$G$167,3,FALSE)," - ",VLOOKUP('Fee Summary'!A59,'PT Fee'!$A$18:$G$167,4,FALSE)),"")</f>
        <v/>
      </c>
      <c r="O369" s="301" t="str">
        <f>IF(AND('PT Fee'!E63="Yes"),VLOOKUP('Fee Summary'!A59,'PT Fee'!$A$18:$G$167,7,FALSE),"")</f>
        <v/>
      </c>
      <c r="AH369" s="457"/>
    </row>
    <row r="370" spans="11:34" ht="15.75" hidden="1" x14ac:dyDescent="0.25">
      <c r="K370" s="301" t="str">
        <f>IF(ISERROR(RANK(L370,$L$23:$L$473,1)+COUNTIF($L$23:L370,L370)-1)=TRUE,"",RANK(L370,$L$23:$L$473,1)+COUNTIF($L$23:L370,L370)-1)</f>
        <v/>
      </c>
      <c r="L370" s="301" t="str">
        <f t="shared" si="38"/>
        <v/>
      </c>
      <c r="M370" s="301" t="str">
        <f>IF(AND('PT Fee'!E64="Yes"),VLOOKUP('Fee Summary'!A60,'PT Fee'!$A$18:$G$167,2,FALSE),"")</f>
        <v/>
      </c>
      <c r="N370" s="301" t="str">
        <f>IF(AND('PT Fee'!E64="Yes"),CONCATENATE(VLOOKUP('Fee Summary'!A60,'PT Fee'!$A$18:$G$167,3,FALSE)," - ",VLOOKUP('Fee Summary'!A60,'PT Fee'!$A$18:$G$167,4,FALSE)),"")</f>
        <v/>
      </c>
      <c r="O370" s="301" t="str">
        <f>IF(AND('PT Fee'!E64="Yes"),VLOOKUP('Fee Summary'!A60,'PT Fee'!$A$18:$G$167,7,FALSE),"")</f>
        <v/>
      </c>
      <c r="AH370" s="457"/>
    </row>
    <row r="371" spans="11:34" ht="15.75" hidden="1" x14ac:dyDescent="0.25">
      <c r="K371" s="301" t="str">
        <f>IF(ISERROR(RANK(L371,$L$23:$L$473,1)+COUNTIF($L$23:L371,L371)-1)=TRUE,"",RANK(L371,$L$23:$L$473,1)+COUNTIF($L$23:L371,L371)-1)</f>
        <v/>
      </c>
      <c r="L371" s="301" t="str">
        <f t="shared" si="38"/>
        <v/>
      </c>
      <c r="M371" s="301" t="str">
        <f>IF(AND('PT Fee'!E65="Yes"),VLOOKUP('Fee Summary'!A61,'PT Fee'!$A$18:$G$167,2,FALSE),"")</f>
        <v/>
      </c>
      <c r="N371" s="301" t="str">
        <f>IF(AND('PT Fee'!E65="Yes"),CONCATENATE(VLOOKUP('Fee Summary'!A61,'PT Fee'!$A$18:$G$167,3,FALSE)," - ",VLOOKUP('Fee Summary'!A61,'PT Fee'!$A$18:$G$167,4,FALSE)),"")</f>
        <v/>
      </c>
      <c r="O371" s="301" t="str">
        <f>IF(AND('PT Fee'!E65="Yes"),VLOOKUP('Fee Summary'!A61,'PT Fee'!$A$18:$G$167,7,FALSE),"")</f>
        <v/>
      </c>
      <c r="AH371" s="457"/>
    </row>
    <row r="372" spans="11:34" ht="15.75" hidden="1" x14ac:dyDescent="0.25">
      <c r="K372" s="301" t="str">
        <f>IF(ISERROR(RANK(L372,$L$23:$L$473,1)+COUNTIF($L$23:L372,L372)-1)=TRUE,"",RANK(L372,$L$23:$L$473,1)+COUNTIF($L$23:L372,L372)-1)</f>
        <v/>
      </c>
      <c r="L372" s="301" t="str">
        <f t="shared" si="38"/>
        <v/>
      </c>
      <c r="M372" s="301" t="str">
        <f>IF(AND('PT Fee'!E66="Yes"),VLOOKUP('Fee Summary'!A62,'PT Fee'!$A$18:$G$167,2,FALSE),"")</f>
        <v/>
      </c>
      <c r="N372" s="301" t="str">
        <f>IF(AND('PT Fee'!E66="Yes"),CONCATENATE(VLOOKUP('Fee Summary'!A62,'PT Fee'!$A$18:$G$167,3,FALSE)," - ",VLOOKUP('Fee Summary'!A62,'PT Fee'!$A$18:$G$167,4,FALSE)),"")</f>
        <v/>
      </c>
      <c r="O372" s="301" t="str">
        <f>IF(AND('PT Fee'!E66="Yes"),VLOOKUP('Fee Summary'!A62,'PT Fee'!$A$18:$G$167,7,FALSE),"")</f>
        <v/>
      </c>
      <c r="AH372" s="457"/>
    </row>
    <row r="373" spans="11:34" ht="15.75" hidden="1" x14ac:dyDescent="0.25">
      <c r="K373" s="301" t="str">
        <f>IF(ISERROR(RANK(L373,$L$23:$L$473,1)+COUNTIF($L$23:L373,L373)-1)=TRUE,"",RANK(L373,$L$23:$L$473,1)+COUNTIF($L$23:L373,L373)-1)</f>
        <v/>
      </c>
      <c r="L373" s="301" t="str">
        <f t="shared" si="38"/>
        <v/>
      </c>
      <c r="M373" s="301" t="str">
        <f>IF(AND('PT Fee'!E67="Yes"),VLOOKUP('Fee Summary'!A63,'PT Fee'!$A$18:$G$167,2,FALSE),"")</f>
        <v/>
      </c>
      <c r="N373" s="301" t="str">
        <f>IF(AND('PT Fee'!E67="Yes"),CONCATENATE(VLOOKUP('Fee Summary'!A63,'PT Fee'!$A$18:$G$167,3,FALSE)," - ",VLOOKUP('Fee Summary'!A63,'PT Fee'!$A$18:$G$167,4,FALSE)),"")</f>
        <v/>
      </c>
      <c r="O373" s="301" t="str">
        <f>IF(AND('PT Fee'!E67="Yes"),VLOOKUP('Fee Summary'!A63,'PT Fee'!$A$18:$G$167,7,FALSE),"")</f>
        <v/>
      </c>
      <c r="AH373" s="457"/>
    </row>
    <row r="374" spans="11:34" ht="15.75" hidden="1" x14ac:dyDescent="0.25">
      <c r="K374" s="301" t="str">
        <f>IF(ISERROR(RANK(L374,$L$23:$L$473,1)+COUNTIF($L$23:L374,L374)-1)=TRUE,"",RANK(L374,$L$23:$L$473,1)+COUNTIF($L$23:L374,L374)-1)</f>
        <v/>
      </c>
      <c r="L374" s="301" t="str">
        <f t="shared" si="38"/>
        <v/>
      </c>
      <c r="M374" s="301" t="str">
        <f>IF(AND('PT Fee'!E68="Yes"),VLOOKUP('Fee Summary'!A64,'PT Fee'!$A$18:$G$167,2,FALSE),"")</f>
        <v/>
      </c>
      <c r="N374" s="301" t="str">
        <f>IF(AND('PT Fee'!E68="Yes"),CONCATENATE(VLOOKUP('Fee Summary'!A64,'PT Fee'!$A$18:$G$167,3,FALSE)," - ",VLOOKUP('Fee Summary'!A64,'PT Fee'!$A$18:$G$167,4,FALSE)),"")</f>
        <v/>
      </c>
      <c r="O374" s="301" t="str">
        <f>IF(AND('PT Fee'!E68="Yes"),VLOOKUP('Fee Summary'!A64,'PT Fee'!$A$18:$G$167,7,FALSE),"")</f>
        <v/>
      </c>
      <c r="AH374" s="457"/>
    </row>
    <row r="375" spans="11:34" ht="15.75" hidden="1" x14ac:dyDescent="0.25">
      <c r="K375" s="301" t="str">
        <f>IF(ISERROR(RANK(L375,$L$23:$L$473,1)+COUNTIF($L$23:L375,L375)-1)=TRUE,"",RANK(L375,$L$23:$L$473,1)+COUNTIF($L$23:L375,L375)-1)</f>
        <v/>
      </c>
      <c r="L375" s="301" t="str">
        <f t="shared" si="38"/>
        <v/>
      </c>
      <c r="M375" s="301" t="str">
        <f>IF(AND('PT Fee'!E69="Yes"),VLOOKUP('Fee Summary'!A65,'PT Fee'!$A$18:$G$167,2,FALSE),"")</f>
        <v/>
      </c>
      <c r="N375" s="301" t="str">
        <f>IF(AND('PT Fee'!E69="Yes"),CONCATENATE(VLOOKUP('Fee Summary'!A65,'PT Fee'!$A$18:$G$167,3,FALSE)," - ",VLOOKUP('Fee Summary'!A65,'PT Fee'!$A$18:$G$167,4,FALSE)),"")</f>
        <v/>
      </c>
      <c r="O375" s="301" t="str">
        <f>IF(AND('PT Fee'!E69="Yes"),VLOOKUP('Fee Summary'!A65,'PT Fee'!$A$18:$G$167,7,FALSE),"")</f>
        <v/>
      </c>
      <c r="AH375" s="457"/>
    </row>
    <row r="376" spans="11:34" ht="15.75" hidden="1" x14ac:dyDescent="0.25">
      <c r="K376" s="301" t="str">
        <f>IF(ISERROR(RANK(L376,$L$23:$L$473,1)+COUNTIF($L$23:L376,L376)-1)=TRUE,"",RANK(L376,$L$23:$L$473,1)+COUNTIF($L$23:L376,L376)-1)</f>
        <v/>
      </c>
      <c r="L376" s="301" t="str">
        <f t="shared" si="38"/>
        <v/>
      </c>
      <c r="M376" s="301" t="str">
        <f>IF(AND('PT Fee'!E70="Yes"),VLOOKUP('Fee Summary'!A66,'PT Fee'!$A$18:$G$167,2,FALSE),"")</f>
        <v/>
      </c>
      <c r="N376" s="301" t="str">
        <f>IF(AND('PT Fee'!E70="Yes"),CONCATENATE(VLOOKUP('Fee Summary'!A66,'PT Fee'!$A$18:$G$167,3,FALSE)," - ",VLOOKUP('Fee Summary'!A66,'PT Fee'!$A$18:$G$167,4,FALSE)),"")</f>
        <v/>
      </c>
      <c r="O376" s="301" t="str">
        <f>IF(AND('PT Fee'!E70="Yes"),VLOOKUP('Fee Summary'!A66,'PT Fee'!$A$18:$G$167,7,FALSE),"")</f>
        <v/>
      </c>
      <c r="AH376" s="457"/>
    </row>
    <row r="377" spans="11:34" ht="15.75" hidden="1" x14ac:dyDescent="0.25">
      <c r="K377" s="301" t="str">
        <f>IF(ISERROR(RANK(L377,$L$23:$L$473,1)+COUNTIF($L$23:L377,L377)-1)=TRUE,"",RANK(L377,$L$23:$L$473,1)+COUNTIF($L$23:L377,L377)-1)</f>
        <v/>
      </c>
      <c r="L377" s="301" t="str">
        <f t="shared" si="38"/>
        <v/>
      </c>
      <c r="M377" s="301" t="str">
        <f>IF(AND('PT Fee'!E71="Yes"),VLOOKUP('Fee Summary'!A67,'PT Fee'!$A$18:$G$167,2,FALSE),"")</f>
        <v/>
      </c>
      <c r="N377" s="301" t="str">
        <f>IF(AND('PT Fee'!E71="Yes"),CONCATENATE(VLOOKUP('Fee Summary'!A67,'PT Fee'!$A$18:$G$167,3,FALSE)," - ",VLOOKUP('Fee Summary'!A67,'PT Fee'!$A$18:$G$167,4,FALSE)),"")</f>
        <v/>
      </c>
      <c r="O377" s="301" t="str">
        <f>IF(AND('PT Fee'!E71="Yes"),VLOOKUP('Fee Summary'!A67,'PT Fee'!$A$18:$G$167,7,FALSE),"")</f>
        <v/>
      </c>
      <c r="AH377" s="457"/>
    </row>
    <row r="378" spans="11:34" ht="15.75" hidden="1" x14ac:dyDescent="0.25">
      <c r="K378" s="301" t="str">
        <f>IF(ISERROR(RANK(L378,$L$23:$L$473,1)+COUNTIF($L$23:L378,L378)-1)=TRUE,"",RANK(L378,$L$23:$L$473,1)+COUNTIF($L$23:L378,L378)-1)</f>
        <v/>
      </c>
      <c r="L378" s="301" t="str">
        <f t="shared" si="38"/>
        <v/>
      </c>
      <c r="M378" s="301" t="str">
        <f>IF(AND('PT Fee'!E72="Yes"),VLOOKUP('Fee Summary'!A68,'PT Fee'!$A$18:$G$167,2,FALSE),"")</f>
        <v/>
      </c>
      <c r="N378" s="301" t="str">
        <f>IF(AND('PT Fee'!E72="Yes"),CONCATENATE(VLOOKUP('Fee Summary'!A68,'PT Fee'!$A$18:$G$167,3,FALSE)," - ",VLOOKUP('Fee Summary'!A68,'PT Fee'!$A$18:$G$167,4,FALSE)),"")</f>
        <v/>
      </c>
      <c r="O378" s="301" t="str">
        <f>IF(AND('PT Fee'!E72="Yes"),VLOOKUP('Fee Summary'!A68,'PT Fee'!$A$18:$G$167,7,FALSE),"")</f>
        <v/>
      </c>
      <c r="AH378" s="457"/>
    </row>
    <row r="379" spans="11:34" ht="15.75" hidden="1" x14ac:dyDescent="0.25">
      <c r="K379" s="301" t="str">
        <f>IF(ISERROR(RANK(L379,$L$23:$L$473,1)+COUNTIF($L$23:L379,L379)-1)=TRUE,"",RANK(L379,$L$23:$L$473,1)+COUNTIF($L$23:L379,L379)-1)</f>
        <v/>
      </c>
      <c r="L379" s="301" t="str">
        <f t="shared" si="38"/>
        <v/>
      </c>
      <c r="M379" s="301" t="str">
        <f>IF(AND('PT Fee'!E73="Yes"),VLOOKUP('Fee Summary'!A69,'PT Fee'!$A$18:$G$167,2,FALSE),"")</f>
        <v/>
      </c>
      <c r="N379" s="301" t="str">
        <f>IF(AND('PT Fee'!E73="Yes"),CONCATENATE(VLOOKUP('Fee Summary'!A69,'PT Fee'!$A$18:$G$167,3,FALSE)," - ",VLOOKUP('Fee Summary'!A69,'PT Fee'!$A$18:$G$167,4,FALSE)),"")</f>
        <v/>
      </c>
      <c r="O379" s="301" t="str">
        <f>IF(AND('PT Fee'!E73="Yes"),VLOOKUP('Fee Summary'!A69,'PT Fee'!$A$18:$G$167,7,FALSE),"")</f>
        <v/>
      </c>
      <c r="AH379" s="457"/>
    </row>
    <row r="380" spans="11:34" ht="15.75" hidden="1" x14ac:dyDescent="0.25">
      <c r="K380" s="301" t="str">
        <f>IF(ISERROR(RANK(L380,$L$23:$L$473,1)+COUNTIF($L$23:L380,L380)-1)=TRUE,"",RANK(L380,$L$23:$L$473,1)+COUNTIF($L$23:L380,L380)-1)</f>
        <v/>
      </c>
      <c r="L380" s="301" t="str">
        <f t="shared" si="38"/>
        <v/>
      </c>
      <c r="M380" s="301" t="str">
        <f>IF(AND('PT Fee'!E74="Yes"),VLOOKUP('Fee Summary'!A70,'PT Fee'!$A$18:$G$167,2,FALSE),"")</f>
        <v/>
      </c>
      <c r="N380" s="301" t="str">
        <f>IF(AND('PT Fee'!E74="Yes"),CONCATENATE(VLOOKUP('Fee Summary'!A70,'PT Fee'!$A$18:$G$167,3,FALSE)," - ",VLOOKUP('Fee Summary'!A70,'PT Fee'!$A$18:$G$167,4,FALSE)),"")</f>
        <v/>
      </c>
      <c r="O380" s="301" t="str">
        <f>IF(AND('PT Fee'!E74="Yes"),VLOOKUP('Fee Summary'!A70,'PT Fee'!$A$18:$G$167,7,FALSE),"")</f>
        <v/>
      </c>
      <c r="AH380" s="457"/>
    </row>
    <row r="381" spans="11:34" ht="15.75" hidden="1" x14ac:dyDescent="0.25">
      <c r="K381" s="301" t="str">
        <f>IF(ISERROR(RANK(L381,$L$23:$L$473,1)+COUNTIF($L$23:L381,L381)-1)=TRUE,"",RANK(L381,$L$23:$L$473,1)+COUNTIF($L$23:L381,L381)-1)</f>
        <v/>
      </c>
      <c r="L381" s="301" t="str">
        <f t="shared" si="38"/>
        <v/>
      </c>
      <c r="M381" s="301" t="str">
        <f>IF(AND('PT Fee'!E75="Yes"),VLOOKUP('Fee Summary'!A71,'PT Fee'!$A$18:$G$167,2,FALSE),"")</f>
        <v/>
      </c>
      <c r="N381" s="301" t="str">
        <f>IF(AND('PT Fee'!E75="Yes"),CONCATENATE(VLOOKUP('Fee Summary'!A71,'PT Fee'!$A$18:$G$167,3,FALSE)," - ",VLOOKUP('Fee Summary'!A71,'PT Fee'!$A$18:$G$167,4,FALSE)),"")</f>
        <v/>
      </c>
      <c r="O381" s="301" t="str">
        <f>IF(AND('PT Fee'!E75="Yes"),VLOOKUP('Fee Summary'!A71,'PT Fee'!$A$18:$G$167,7,FALSE),"")</f>
        <v/>
      </c>
      <c r="AH381" s="457"/>
    </row>
    <row r="382" spans="11:34" ht="15.75" hidden="1" x14ac:dyDescent="0.25">
      <c r="K382" s="301" t="str">
        <f>IF(ISERROR(RANK(L382,$L$23:$L$473,1)+COUNTIF($L$23:L382,L382)-1)=TRUE,"",RANK(L382,$L$23:$L$473,1)+COUNTIF($L$23:L382,L382)-1)</f>
        <v/>
      </c>
      <c r="L382" s="301" t="str">
        <f t="shared" si="38"/>
        <v/>
      </c>
      <c r="M382" s="301" t="str">
        <f>IF(AND('PT Fee'!E76="Yes"),VLOOKUP('Fee Summary'!A72,'PT Fee'!$A$18:$G$167,2,FALSE),"")</f>
        <v/>
      </c>
      <c r="N382" s="301" t="str">
        <f>IF(AND('PT Fee'!E76="Yes"),CONCATENATE(VLOOKUP('Fee Summary'!A72,'PT Fee'!$A$18:$G$167,3,FALSE)," - ",VLOOKUP('Fee Summary'!A72,'PT Fee'!$A$18:$G$167,4,FALSE)),"")</f>
        <v/>
      </c>
      <c r="O382" s="301" t="str">
        <f>IF(AND('PT Fee'!E76="Yes"),VLOOKUP('Fee Summary'!A72,'PT Fee'!$A$18:$G$167,7,FALSE),"")</f>
        <v/>
      </c>
      <c r="AH382" s="457"/>
    </row>
    <row r="383" spans="11:34" ht="15.75" hidden="1" x14ac:dyDescent="0.25">
      <c r="K383" s="301" t="str">
        <f>IF(ISERROR(RANK(L383,$L$23:$L$473,1)+COUNTIF($L$23:L383,L383)-1)=TRUE,"",RANK(L383,$L$23:$L$473,1)+COUNTIF($L$23:L383,L383)-1)</f>
        <v/>
      </c>
      <c r="L383" s="301" t="str">
        <f t="shared" si="38"/>
        <v/>
      </c>
      <c r="M383" s="301" t="str">
        <f>IF(AND('PT Fee'!E77="Yes"),VLOOKUP('Fee Summary'!A73,'PT Fee'!$A$18:$G$167,2,FALSE),"")</f>
        <v/>
      </c>
      <c r="N383" s="301" t="str">
        <f>IF(AND('PT Fee'!E77="Yes"),CONCATENATE(VLOOKUP('Fee Summary'!A73,'PT Fee'!$A$18:$G$167,3,FALSE)," - ",VLOOKUP('Fee Summary'!A73,'PT Fee'!$A$18:$G$167,4,FALSE)),"")</f>
        <v/>
      </c>
      <c r="O383" s="301" t="str">
        <f>IF(AND('PT Fee'!E77="Yes"),VLOOKUP('Fee Summary'!A73,'PT Fee'!$A$18:$G$167,7,FALSE),"")</f>
        <v/>
      </c>
      <c r="AH383" s="457"/>
    </row>
    <row r="384" spans="11:34" ht="15.75" hidden="1" x14ac:dyDescent="0.25">
      <c r="K384" s="301" t="str">
        <f>IF(ISERROR(RANK(L384,$L$23:$L$473,1)+COUNTIF($L$23:L384,L384)-1)=TRUE,"",RANK(L384,$L$23:$L$473,1)+COUNTIF($L$23:L384,L384)-1)</f>
        <v/>
      </c>
      <c r="L384" s="301" t="str">
        <f t="shared" si="38"/>
        <v/>
      </c>
      <c r="M384" s="301" t="str">
        <f>IF(AND('PT Fee'!E78="Yes"),VLOOKUP('Fee Summary'!A74,'PT Fee'!$A$18:$G$167,2,FALSE),"")</f>
        <v/>
      </c>
      <c r="N384" s="301" t="str">
        <f>IF(AND('PT Fee'!E78="Yes"),CONCATENATE(VLOOKUP('Fee Summary'!A74,'PT Fee'!$A$18:$G$167,3,FALSE)," - ",VLOOKUP('Fee Summary'!A74,'PT Fee'!$A$18:$G$167,4,FALSE)),"")</f>
        <v/>
      </c>
      <c r="O384" s="301" t="str">
        <f>IF(AND('PT Fee'!E78="Yes"),VLOOKUP('Fee Summary'!A74,'PT Fee'!$A$18:$G$167,7,FALSE),"")</f>
        <v/>
      </c>
      <c r="AH384" s="457"/>
    </row>
    <row r="385" spans="11:34" ht="15.75" hidden="1" x14ac:dyDescent="0.25">
      <c r="K385" s="301" t="str">
        <f>IF(ISERROR(RANK(L385,$L$23:$L$473,1)+COUNTIF($L$23:L385,L385)-1)=TRUE,"",RANK(L385,$L$23:$L$473,1)+COUNTIF($L$23:L385,L385)-1)</f>
        <v/>
      </c>
      <c r="L385" s="301" t="str">
        <f t="shared" si="38"/>
        <v/>
      </c>
      <c r="M385" s="301" t="str">
        <f>IF(AND('PT Fee'!E79="Yes"),VLOOKUP('Fee Summary'!A75,'PT Fee'!$A$18:$G$167,2,FALSE),"")</f>
        <v/>
      </c>
      <c r="N385" s="301" t="str">
        <f>IF(AND('PT Fee'!E79="Yes"),CONCATENATE(VLOOKUP('Fee Summary'!A75,'PT Fee'!$A$18:$G$167,3,FALSE)," - ",VLOOKUP('Fee Summary'!A75,'PT Fee'!$A$18:$G$167,4,FALSE)),"")</f>
        <v/>
      </c>
      <c r="O385" s="301" t="str">
        <f>IF(AND('PT Fee'!E79="Yes"),VLOOKUP('Fee Summary'!A75,'PT Fee'!$A$18:$G$167,7,FALSE),"")</f>
        <v/>
      </c>
      <c r="AH385" s="457"/>
    </row>
    <row r="386" spans="11:34" ht="15.75" hidden="1" x14ac:dyDescent="0.25">
      <c r="K386" s="301" t="str">
        <f>IF(ISERROR(RANK(L386,$L$23:$L$473,1)+COUNTIF($L$23:L386,L386)-1)=TRUE,"",RANK(L386,$L$23:$L$473,1)+COUNTIF($L$23:L386,L386)-1)</f>
        <v/>
      </c>
      <c r="L386" s="301" t="str">
        <f t="shared" si="38"/>
        <v/>
      </c>
      <c r="M386" s="301" t="str">
        <f>IF(AND('PT Fee'!E80="Yes"),VLOOKUP('Fee Summary'!A76,'PT Fee'!$A$18:$G$167,2,FALSE),"")</f>
        <v/>
      </c>
      <c r="N386" s="301" t="str">
        <f>IF(AND('PT Fee'!E80="Yes"),CONCATENATE(VLOOKUP('Fee Summary'!A76,'PT Fee'!$A$18:$G$167,3,FALSE)," - ",VLOOKUP('Fee Summary'!A76,'PT Fee'!$A$18:$G$167,4,FALSE)),"")</f>
        <v/>
      </c>
      <c r="O386" s="301" t="str">
        <f>IF(AND('PT Fee'!E80="Yes"),VLOOKUP('Fee Summary'!A76,'PT Fee'!$A$18:$G$167,7,FALSE),"")</f>
        <v/>
      </c>
      <c r="AH386" s="457"/>
    </row>
    <row r="387" spans="11:34" ht="15.75" hidden="1" x14ac:dyDescent="0.25">
      <c r="K387" s="301" t="str">
        <f>IF(ISERROR(RANK(L387,$L$23:$L$473,1)+COUNTIF($L$23:L387,L387)-1)=TRUE,"",RANK(L387,$L$23:$L$473,1)+COUNTIF($L$23:L387,L387)-1)</f>
        <v/>
      </c>
      <c r="L387" s="301" t="str">
        <f t="shared" si="38"/>
        <v/>
      </c>
      <c r="M387" s="301" t="str">
        <f>IF(AND('PT Fee'!E81="Yes"),VLOOKUP('Fee Summary'!A77,'PT Fee'!$A$18:$G$167,2,FALSE),"")</f>
        <v/>
      </c>
      <c r="N387" s="301" t="str">
        <f>IF(AND('PT Fee'!E81="Yes"),CONCATENATE(VLOOKUP('Fee Summary'!A77,'PT Fee'!$A$18:$G$167,3,FALSE)," - ",VLOOKUP('Fee Summary'!A77,'PT Fee'!$A$18:$G$167,4,FALSE)),"")</f>
        <v/>
      </c>
      <c r="O387" s="301" t="str">
        <f>IF(AND('PT Fee'!E81="Yes"),VLOOKUP('Fee Summary'!A77,'PT Fee'!$A$18:$G$167,7,FALSE),"")</f>
        <v/>
      </c>
      <c r="AH387" s="457"/>
    </row>
    <row r="388" spans="11:34" ht="15.75" hidden="1" x14ac:dyDescent="0.25">
      <c r="K388" s="301" t="str">
        <f>IF(ISERROR(RANK(L388,$L$23:$L$473,1)+COUNTIF($L$23:L388,L388)-1)=TRUE,"",RANK(L388,$L$23:$L$473,1)+COUNTIF($L$23:L388,L388)-1)</f>
        <v/>
      </c>
      <c r="L388" s="301" t="str">
        <f t="shared" ref="L388:L419" si="39">IF(ISERROR(VLOOKUP(M388,$S$10:$S$20,1,FALSE))=TRUE,"",VLOOKUP(M388,$S$10:$U$20,2,FALSE))</f>
        <v/>
      </c>
      <c r="M388" s="301" t="str">
        <f>IF(AND('PT Fee'!E82="Yes"),VLOOKUP('Fee Summary'!A78,'PT Fee'!$A$18:$G$167,2,FALSE),"")</f>
        <v/>
      </c>
      <c r="N388" s="301" t="str">
        <f>IF(AND('PT Fee'!E82="Yes"),CONCATENATE(VLOOKUP('Fee Summary'!A78,'PT Fee'!$A$18:$G$167,3,FALSE)," - ",VLOOKUP('Fee Summary'!A78,'PT Fee'!$A$18:$G$167,4,FALSE)),"")</f>
        <v/>
      </c>
      <c r="O388" s="301" t="str">
        <f>IF(AND('PT Fee'!E82="Yes"),VLOOKUP('Fee Summary'!A78,'PT Fee'!$A$18:$G$167,7,FALSE),"")</f>
        <v/>
      </c>
      <c r="AH388" s="457"/>
    </row>
    <row r="389" spans="11:34" ht="15.75" hidden="1" x14ac:dyDescent="0.25">
      <c r="K389" s="301" t="str">
        <f>IF(ISERROR(RANK(L389,$L$23:$L$473,1)+COUNTIF($L$23:L389,L389)-1)=TRUE,"",RANK(L389,$L$23:$L$473,1)+COUNTIF($L$23:L389,L389)-1)</f>
        <v/>
      </c>
      <c r="L389" s="301" t="str">
        <f t="shared" si="39"/>
        <v/>
      </c>
      <c r="M389" s="301" t="str">
        <f>IF(AND('PT Fee'!E83="Yes"),VLOOKUP('Fee Summary'!A79,'PT Fee'!$A$18:$G$167,2,FALSE),"")</f>
        <v/>
      </c>
      <c r="N389" s="301" t="str">
        <f>IF(AND('PT Fee'!E83="Yes"),CONCATENATE(VLOOKUP('Fee Summary'!A79,'PT Fee'!$A$18:$G$167,3,FALSE)," - ",VLOOKUP('Fee Summary'!A79,'PT Fee'!$A$18:$G$167,4,FALSE)),"")</f>
        <v/>
      </c>
      <c r="O389" s="301" t="str">
        <f>IF(AND('PT Fee'!E83="Yes"),VLOOKUP('Fee Summary'!A79,'PT Fee'!$A$18:$G$167,7,FALSE),"")</f>
        <v/>
      </c>
      <c r="AH389" s="457"/>
    </row>
    <row r="390" spans="11:34" ht="15.75" hidden="1" x14ac:dyDescent="0.25">
      <c r="K390" s="301" t="str">
        <f>IF(ISERROR(RANK(L390,$L$23:$L$473,1)+COUNTIF($L$23:L390,L390)-1)=TRUE,"",RANK(L390,$L$23:$L$473,1)+COUNTIF($L$23:L390,L390)-1)</f>
        <v/>
      </c>
      <c r="L390" s="301" t="str">
        <f t="shared" si="39"/>
        <v/>
      </c>
      <c r="M390" s="301" t="str">
        <f>IF(AND('PT Fee'!E84="Yes"),VLOOKUP('Fee Summary'!A80,'PT Fee'!$A$18:$G$167,2,FALSE),"")</f>
        <v/>
      </c>
      <c r="N390" s="301" t="str">
        <f>IF(AND('PT Fee'!E84="Yes"),CONCATENATE(VLOOKUP('Fee Summary'!A80,'PT Fee'!$A$18:$G$167,3,FALSE)," - ",VLOOKUP('Fee Summary'!A80,'PT Fee'!$A$18:$G$167,4,FALSE)),"")</f>
        <v/>
      </c>
      <c r="O390" s="301" t="str">
        <f>IF(AND('PT Fee'!E84="Yes"),VLOOKUP('Fee Summary'!A80,'PT Fee'!$A$18:$G$167,7,FALSE),"")</f>
        <v/>
      </c>
      <c r="AH390" s="457"/>
    </row>
    <row r="391" spans="11:34" ht="15.75" hidden="1" x14ac:dyDescent="0.25">
      <c r="K391" s="301" t="str">
        <f>IF(ISERROR(RANK(L391,$L$23:$L$473,1)+COUNTIF($L$23:L391,L391)-1)=TRUE,"",RANK(L391,$L$23:$L$473,1)+COUNTIF($L$23:L391,L391)-1)</f>
        <v/>
      </c>
      <c r="L391" s="301" t="str">
        <f t="shared" si="39"/>
        <v/>
      </c>
      <c r="M391" s="301" t="str">
        <f>IF(AND('PT Fee'!E85="Yes"),VLOOKUP('Fee Summary'!A81,'PT Fee'!$A$18:$G$167,2,FALSE),"")</f>
        <v/>
      </c>
      <c r="N391" s="301" t="str">
        <f>IF(AND('PT Fee'!E85="Yes"),CONCATENATE(VLOOKUP('Fee Summary'!A81,'PT Fee'!$A$18:$G$167,3,FALSE)," - ",VLOOKUP('Fee Summary'!A81,'PT Fee'!$A$18:$G$167,4,FALSE)),"")</f>
        <v/>
      </c>
      <c r="O391" s="301" t="str">
        <f>IF(AND('PT Fee'!E85="Yes"),VLOOKUP('Fee Summary'!A81,'PT Fee'!$A$18:$G$167,7,FALSE),"")</f>
        <v/>
      </c>
      <c r="AH391" s="457"/>
    </row>
    <row r="392" spans="11:34" ht="15.75" hidden="1" x14ac:dyDescent="0.25">
      <c r="K392" s="301" t="str">
        <f>IF(ISERROR(RANK(L392,$L$23:$L$473,1)+COUNTIF($L$23:L392,L392)-1)=TRUE,"",RANK(L392,$L$23:$L$473,1)+COUNTIF($L$23:L392,L392)-1)</f>
        <v/>
      </c>
      <c r="L392" s="301" t="str">
        <f t="shared" si="39"/>
        <v/>
      </c>
      <c r="M392" s="301" t="str">
        <f>IF(AND('PT Fee'!E86="Yes"),VLOOKUP('Fee Summary'!A82,'PT Fee'!$A$18:$G$167,2,FALSE),"")</f>
        <v/>
      </c>
      <c r="N392" s="301" t="str">
        <f>IF(AND('PT Fee'!E86="Yes"),CONCATENATE(VLOOKUP('Fee Summary'!A82,'PT Fee'!$A$18:$G$167,3,FALSE)," - ",VLOOKUP('Fee Summary'!A82,'PT Fee'!$A$18:$G$167,4,FALSE)),"")</f>
        <v/>
      </c>
      <c r="O392" s="301" t="str">
        <f>IF(AND('PT Fee'!E86="Yes"),VLOOKUP('Fee Summary'!A82,'PT Fee'!$A$18:$G$167,7,FALSE),"")</f>
        <v/>
      </c>
      <c r="AH392" s="457"/>
    </row>
    <row r="393" spans="11:34" ht="15.75" hidden="1" x14ac:dyDescent="0.25">
      <c r="K393" s="301" t="str">
        <f>IF(ISERROR(RANK(L393,$L$23:$L$473,1)+COUNTIF($L$23:L393,L393)-1)=TRUE,"",RANK(L393,$L$23:$L$473,1)+COUNTIF($L$23:L393,L393)-1)</f>
        <v/>
      </c>
      <c r="L393" s="301" t="str">
        <f t="shared" si="39"/>
        <v/>
      </c>
      <c r="M393" s="301" t="str">
        <f>IF(AND('PT Fee'!E87="Yes"),VLOOKUP('Fee Summary'!A83,'PT Fee'!$A$18:$G$167,2,FALSE),"")</f>
        <v/>
      </c>
      <c r="N393" s="301" t="str">
        <f>IF(AND('PT Fee'!E87="Yes"),CONCATENATE(VLOOKUP('Fee Summary'!A83,'PT Fee'!$A$18:$G$167,3,FALSE)," - ",VLOOKUP('Fee Summary'!A83,'PT Fee'!$A$18:$G$167,4,FALSE)),"")</f>
        <v/>
      </c>
      <c r="O393" s="301" t="str">
        <f>IF(AND('PT Fee'!E87="Yes"),VLOOKUP('Fee Summary'!A83,'PT Fee'!$A$18:$G$167,7,FALSE),"")</f>
        <v/>
      </c>
      <c r="AH393" s="457"/>
    </row>
    <row r="394" spans="11:34" ht="15.75" hidden="1" x14ac:dyDescent="0.25">
      <c r="K394" s="301" t="str">
        <f>IF(ISERROR(RANK(L394,$L$23:$L$473,1)+COUNTIF($L$23:L394,L394)-1)=TRUE,"",RANK(L394,$L$23:$L$473,1)+COUNTIF($L$23:L394,L394)-1)</f>
        <v/>
      </c>
      <c r="L394" s="301" t="str">
        <f t="shared" si="39"/>
        <v/>
      </c>
      <c r="M394" s="301" t="str">
        <f>IF(AND('PT Fee'!E88="Yes"),VLOOKUP('Fee Summary'!A84,'PT Fee'!$A$18:$G$167,2,FALSE),"")</f>
        <v/>
      </c>
      <c r="N394" s="301" t="str">
        <f>IF(AND('PT Fee'!E88="Yes"),CONCATENATE(VLOOKUP('Fee Summary'!A84,'PT Fee'!$A$18:$G$167,3,FALSE)," - ",VLOOKUP('Fee Summary'!A84,'PT Fee'!$A$18:$G$167,4,FALSE)),"")</f>
        <v/>
      </c>
      <c r="O394" s="301" t="str">
        <f>IF(AND('PT Fee'!E88="Yes"),VLOOKUP('Fee Summary'!A84,'PT Fee'!$A$18:$G$167,7,FALSE),"")</f>
        <v/>
      </c>
      <c r="AH394" s="457"/>
    </row>
    <row r="395" spans="11:34" ht="15.75" hidden="1" x14ac:dyDescent="0.25">
      <c r="K395" s="301" t="str">
        <f>IF(ISERROR(RANK(L395,$L$23:$L$473,1)+COUNTIF($L$23:L395,L395)-1)=TRUE,"",RANK(L395,$L$23:$L$473,1)+COUNTIF($L$23:L395,L395)-1)</f>
        <v/>
      </c>
      <c r="L395" s="301" t="str">
        <f t="shared" si="39"/>
        <v/>
      </c>
      <c r="M395" s="301" t="str">
        <f>IF(AND('PT Fee'!E89="Yes"),VLOOKUP('Fee Summary'!A85,'PT Fee'!$A$18:$G$167,2,FALSE),"")</f>
        <v/>
      </c>
      <c r="N395" s="301" t="str">
        <f>IF(AND('PT Fee'!E89="Yes"),CONCATENATE(VLOOKUP('Fee Summary'!A85,'PT Fee'!$A$18:$G$167,3,FALSE)," - ",VLOOKUP('Fee Summary'!A85,'PT Fee'!$A$18:$G$167,4,FALSE)),"")</f>
        <v/>
      </c>
      <c r="O395" s="301" t="str">
        <f>IF(AND('PT Fee'!E89="Yes"),VLOOKUP('Fee Summary'!A85,'PT Fee'!$A$18:$G$167,7,FALSE),"")</f>
        <v/>
      </c>
      <c r="AH395" s="457"/>
    </row>
    <row r="396" spans="11:34" ht="15.75" hidden="1" x14ac:dyDescent="0.25">
      <c r="K396" s="301" t="str">
        <f>IF(ISERROR(RANK(L396,$L$23:$L$473,1)+COUNTIF($L$23:L396,L396)-1)=TRUE,"",RANK(L396,$L$23:$L$473,1)+COUNTIF($L$23:L396,L396)-1)</f>
        <v/>
      </c>
      <c r="L396" s="301" t="str">
        <f t="shared" si="39"/>
        <v/>
      </c>
      <c r="M396" s="301" t="str">
        <f>IF(AND('PT Fee'!E90="Yes"),VLOOKUP('Fee Summary'!A86,'PT Fee'!$A$18:$G$167,2,FALSE),"")</f>
        <v/>
      </c>
      <c r="N396" s="301" t="str">
        <f>IF(AND('PT Fee'!E90="Yes"),CONCATENATE(VLOOKUP('Fee Summary'!A86,'PT Fee'!$A$18:$G$167,3,FALSE)," - ",VLOOKUP('Fee Summary'!A86,'PT Fee'!$A$18:$G$167,4,FALSE)),"")</f>
        <v/>
      </c>
      <c r="O396" s="301" t="str">
        <f>IF(AND('PT Fee'!E90="Yes"),VLOOKUP('Fee Summary'!A86,'PT Fee'!$A$18:$G$167,7,FALSE),"")</f>
        <v/>
      </c>
      <c r="AH396" s="457"/>
    </row>
    <row r="397" spans="11:34" ht="15.75" hidden="1" x14ac:dyDescent="0.25">
      <c r="K397" s="301" t="str">
        <f>IF(ISERROR(RANK(L397,$L$23:$L$473,1)+COUNTIF($L$23:L397,L397)-1)=TRUE,"",RANK(L397,$L$23:$L$473,1)+COUNTIF($L$23:L397,L397)-1)</f>
        <v/>
      </c>
      <c r="L397" s="301" t="str">
        <f t="shared" si="39"/>
        <v/>
      </c>
      <c r="M397" s="301" t="str">
        <f>IF(AND('PT Fee'!E91="Yes"),VLOOKUP('Fee Summary'!A87,'PT Fee'!$A$18:$G$167,2,FALSE),"")</f>
        <v/>
      </c>
      <c r="N397" s="301" t="str">
        <f>IF(AND('PT Fee'!E91="Yes"),CONCATENATE(VLOOKUP('Fee Summary'!A87,'PT Fee'!$A$18:$G$167,3,FALSE)," - ",VLOOKUP('Fee Summary'!A87,'PT Fee'!$A$18:$G$167,4,FALSE)),"")</f>
        <v/>
      </c>
      <c r="O397" s="301" t="str">
        <f>IF(AND('PT Fee'!E91="Yes"),VLOOKUP('Fee Summary'!A87,'PT Fee'!$A$18:$G$167,7,FALSE),"")</f>
        <v/>
      </c>
      <c r="AH397" s="457"/>
    </row>
    <row r="398" spans="11:34" ht="15.75" hidden="1" x14ac:dyDescent="0.25">
      <c r="K398" s="301" t="str">
        <f>IF(ISERROR(RANK(L398,$L$23:$L$473,1)+COUNTIF($L$23:L398,L398)-1)=TRUE,"",RANK(L398,$L$23:$L$473,1)+COUNTIF($L$23:L398,L398)-1)</f>
        <v/>
      </c>
      <c r="L398" s="301" t="str">
        <f t="shared" si="39"/>
        <v/>
      </c>
      <c r="M398" s="301" t="str">
        <f>IF(AND('PT Fee'!E92="Yes"),VLOOKUP('Fee Summary'!A88,'PT Fee'!$A$18:$G$167,2,FALSE),"")</f>
        <v/>
      </c>
      <c r="N398" s="301" t="str">
        <f>IF(AND('PT Fee'!E92="Yes"),CONCATENATE(VLOOKUP('Fee Summary'!A88,'PT Fee'!$A$18:$G$167,3,FALSE)," - ",VLOOKUP('Fee Summary'!A88,'PT Fee'!$A$18:$G$167,4,FALSE)),"")</f>
        <v/>
      </c>
      <c r="O398" s="301" t="str">
        <f>IF(AND('PT Fee'!E92="Yes"),VLOOKUP('Fee Summary'!A88,'PT Fee'!$A$18:$G$167,7,FALSE),"")</f>
        <v/>
      </c>
      <c r="AH398" s="457"/>
    </row>
    <row r="399" spans="11:34" ht="15.75" hidden="1" x14ac:dyDescent="0.25">
      <c r="K399" s="301" t="str">
        <f>IF(ISERROR(RANK(L399,$L$23:$L$473,1)+COUNTIF($L$23:L399,L399)-1)=TRUE,"",RANK(L399,$L$23:$L$473,1)+COUNTIF($L$23:L399,L399)-1)</f>
        <v/>
      </c>
      <c r="L399" s="301" t="str">
        <f t="shared" si="39"/>
        <v/>
      </c>
      <c r="M399" s="301" t="str">
        <f>IF(AND('PT Fee'!E93="Yes"),VLOOKUP('Fee Summary'!A89,'PT Fee'!$A$18:$G$167,2,FALSE),"")</f>
        <v/>
      </c>
      <c r="N399" s="301" t="str">
        <f>IF(AND('PT Fee'!E93="Yes"),CONCATENATE(VLOOKUP('Fee Summary'!A89,'PT Fee'!$A$18:$G$167,3,FALSE)," - ",VLOOKUP('Fee Summary'!A89,'PT Fee'!$A$18:$G$167,4,FALSE)),"")</f>
        <v/>
      </c>
      <c r="O399" s="301" t="str">
        <f>IF(AND('PT Fee'!E93="Yes"),VLOOKUP('Fee Summary'!A89,'PT Fee'!$A$18:$G$167,7,FALSE),"")</f>
        <v/>
      </c>
      <c r="AH399" s="457"/>
    </row>
    <row r="400" spans="11:34" ht="15.75" hidden="1" x14ac:dyDescent="0.25">
      <c r="K400" s="301" t="str">
        <f>IF(ISERROR(RANK(L400,$L$23:$L$473,1)+COUNTIF($L$23:L400,L400)-1)=TRUE,"",RANK(L400,$L$23:$L$473,1)+COUNTIF($L$23:L400,L400)-1)</f>
        <v/>
      </c>
      <c r="L400" s="301" t="str">
        <f t="shared" si="39"/>
        <v/>
      </c>
      <c r="M400" s="301" t="str">
        <f>IF(AND('PT Fee'!E94="Yes"),VLOOKUP('Fee Summary'!A90,'PT Fee'!$A$18:$G$167,2,FALSE),"")</f>
        <v/>
      </c>
      <c r="N400" s="301" t="str">
        <f>IF(AND('PT Fee'!E94="Yes"),CONCATENATE(VLOOKUP('Fee Summary'!A90,'PT Fee'!$A$18:$G$167,3,FALSE)," - ",VLOOKUP('Fee Summary'!A90,'PT Fee'!$A$18:$G$167,4,FALSE)),"")</f>
        <v/>
      </c>
      <c r="O400" s="301" t="str">
        <f>IF(AND('PT Fee'!E94="Yes"),VLOOKUP('Fee Summary'!A90,'PT Fee'!$A$18:$G$167,7,FALSE),"")</f>
        <v/>
      </c>
      <c r="AH400" s="457"/>
    </row>
    <row r="401" spans="11:34" ht="15.75" hidden="1" x14ac:dyDescent="0.25">
      <c r="K401" s="301" t="str">
        <f>IF(ISERROR(RANK(L401,$L$23:$L$473,1)+COUNTIF($L$23:L401,L401)-1)=TRUE,"",RANK(L401,$L$23:$L$473,1)+COUNTIF($L$23:L401,L401)-1)</f>
        <v/>
      </c>
      <c r="L401" s="301" t="str">
        <f t="shared" si="39"/>
        <v/>
      </c>
      <c r="M401" s="301" t="str">
        <f>IF(AND('PT Fee'!E95="Yes"),VLOOKUP('Fee Summary'!A91,'PT Fee'!$A$18:$G$167,2,FALSE),"")</f>
        <v/>
      </c>
      <c r="N401" s="301" t="str">
        <f>IF(AND('PT Fee'!E95="Yes"),CONCATENATE(VLOOKUP('Fee Summary'!A91,'PT Fee'!$A$18:$G$167,3,FALSE)," - ",VLOOKUP('Fee Summary'!A91,'PT Fee'!$A$18:$G$167,4,FALSE)),"")</f>
        <v/>
      </c>
      <c r="O401" s="301" t="str">
        <f>IF(AND('PT Fee'!E95="Yes"),VLOOKUP('Fee Summary'!A91,'PT Fee'!$A$18:$G$167,7,FALSE),"")</f>
        <v/>
      </c>
      <c r="AH401" s="457"/>
    </row>
    <row r="402" spans="11:34" ht="15.75" hidden="1" x14ac:dyDescent="0.25">
      <c r="K402" s="301" t="str">
        <f>IF(ISERROR(RANK(L402,$L$23:$L$473,1)+COUNTIF($L$23:L402,L402)-1)=TRUE,"",RANK(L402,$L$23:$L$473,1)+COUNTIF($L$23:L402,L402)-1)</f>
        <v/>
      </c>
      <c r="L402" s="301" t="str">
        <f t="shared" si="39"/>
        <v/>
      </c>
      <c r="M402" s="301" t="str">
        <f>IF(AND('PT Fee'!E96="Yes"),VLOOKUP('Fee Summary'!A92,'PT Fee'!$A$18:$G$167,2,FALSE),"")</f>
        <v/>
      </c>
      <c r="N402" s="301" t="str">
        <f>IF(AND('PT Fee'!E96="Yes"),CONCATENATE(VLOOKUP('Fee Summary'!A92,'PT Fee'!$A$18:$G$167,3,FALSE)," - ",VLOOKUP('Fee Summary'!A92,'PT Fee'!$A$18:$G$167,4,FALSE)),"")</f>
        <v/>
      </c>
      <c r="O402" s="301" t="str">
        <f>IF(AND('PT Fee'!E96="Yes"),VLOOKUP('Fee Summary'!A92,'PT Fee'!$A$18:$G$167,7,FALSE),"")</f>
        <v/>
      </c>
      <c r="AH402" s="457"/>
    </row>
    <row r="403" spans="11:34" ht="15.75" hidden="1" x14ac:dyDescent="0.25">
      <c r="K403" s="301" t="str">
        <f>IF(ISERROR(RANK(L403,$L$23:$L$473,1)+COUNTIF($L$23:L403,L403)-1)=TRUE,"",RANK(L403,$L$23:$L$473,1)+COUNTIF($L$23:L403,L403)-1)</f>
        <v/>
      </c>
      <c r="L403" s="301" t="str">
        <f t="shared" si="39"/>
        <v/>
      </c>
      <c r="M403" s="301" t="str">
        <f>IF(AND('PT Fee'!E97="Yes"),VLOOKUP('Fee Summary'!A93,'PT Fee'!$A$18:$G$167,2,FALSE),"")</f>
        <v/>
      </c>
      <c r="N403" s="301" t="str">
        <f>IF(AND('PT Fee'!E97="Yes"),CONCATENATE(VLOOKUP('Fee Summary'!A93,'PT Fee'!$A$18:$G$167,3,FALSE)," - ",VLOOKUP('Fee Summary'!A93,'PT Fee'!$A$18:$G$167,4,FALSE)),"")</f>
        <v/>
      </c>
      <c r="O403" s="301" t="str">
        <f>IF(AND('PT Fee'!E97="Yes"),VLOOKUP('Fee Summary'!A93,'PT Fee'!$A$18:$G$167,7,FALSE),"")</f>
        <v/>
      </c>
      <c r="AH403" s="457"/>
    </row>
    <row r="404" spans="11:34" ht="15.75" hidden="1" x14ac:dyDescent="0.25">
      <c r="K404" s="301" t="str">
        <f>IF(ISERROR(RANK(L404,$L$23:$L$473,1)+COUNTIF($L$23:L404,L404)-1)=TRUE,"",RANK(L404,$L$23:$L$473,1)+COUNTIF($L$23:L404,L404)-1)</f>
        <v/>
      </c>
      <c r="L404" s="301" t="str">
        <f t="shared" si="39"/>
        <v/>
      </c>
      <c r="M404" s="301" t="str">
        <f>IF(AND('PT Fee'!E98="Yes"),VLOOKUP('Fee Summary'!A94,'PT Fee'!$A$18:$G$167,2,FALSE),"")</f>
        <v/>
      </c>
      <c r="N404" s="301" t="str">
        <f>IF(AND('PT Fee'!E98="Yes"),CONCATENATE(VLOOKUP('Fee Summary'!A94,'PT Fee'!$A$18:$G$167,3,FALSE)," - ",VLOOKUP('Fee Summary'!A94,'PT Fee'!$A$18:$G$167,4,FALSE)),"")</f>
        <v/>
      </c>
      <c r="O404" s="301" t="str">
        <f>IF(AND('PT Fee'!E98="Yes"),VLOOKUP('Fee Summary'!A94,'PT Fee'!$A$18:$G$167,7,FALSE),"")</f>
        <v/>
      </c>
      <c r="AH404" s="457"/>
    </row>
    <row r="405" spans="11:34" ht="15.75" hidden="1" x14ac:dyDescent="0.25">
      <c r="K405" s="301" t="str">
        <f>IF(ISERROR(RANK(L405,$L$23:$L$473,1)+COUNTIF($L$23:L405,L405)-1)=TRUE,"",RANK(L405,$L$23:$L$473,1)+COUNTIF($L$23:L405,L405)-1)</f>
        <v/>
      </c>
      <c r="L405" s="301" t="str">
        <f t="shared" si="39"/>
        <v/>
      </c>
      <c r="M405" s="301" t="str">
        <f>IF(AND('PT Fee'!E99="Yes"),VLOOKUP('Fee Summary'!A95,'PT Fee'!$A$18:$G$167,2,FALSE),"")</f>
        <v/>
      </c>
      <c r="N405" s="301" t="str">
        <f>IF(AND('PT Fee'!E99="Yes"),CONCATENATE(VLOOKUP('Fee Summary'!A95,'PT Fee'!$A$18:$G$167,3,FALSE)," - ",VLOOKUP('Fee Summary'!A95,'PT Fee'!$A$18:$G$167,4,FALSE)),"")</f>
        <v/>
      </c>
      <c r="O405" s="301" t="str">
        <f>IF(AND('PT Fee'!E99="Yes"),VLOOKUP('Fee Summary'!A95,'PT Fee'!$A$18:$G$167,7,FALSE),"")</f>
        <v/>
      </c>
      <c r="AH405" s="457"/>
    </row>
    <row r="406" spans="11:34" ht="15.75" hidden="1" x14ac:dyDescent="0.25">
      <c r="K406" s="301" t="str">
        <f>IF(ISERROR(RANK(L406,$L$23:$L$473,1)+COUNTIF($L$23:L406,L406)-1)=TRUE,"",RANK(L406,$L$23:$L$473,1)+COUNTIF($L$23:L406,L406)-1)</f>
        <v/>
      </c>
      <c r="L406" s="301" t="str">
        <f t="shared" si="39"/>
        <v/>
      </c>
      <c r="M406" s="301" t="str">
        <f>IF(AND('PT Fee'!E100="Yes"),VLOOKUP('Fee Summary'!A96,'PT Fee'!$A$18:$G$167,2,FALSE),"")</f>
        <v/>
      </c>
      <c r="N406" s="301" t="str">
        <f>IF(AND('PT Fee'!E100="Yes"),CONCATENATE(VLOOKUP('Fee Summary'!A96,'PT Fee'!$A$18:$G$167,3,FALSE)," - ",VLOOKUP('Fee Summary'!A96,'PT Fee'!$A$18:$G$167,4,FALSE)),"")</f>
        <v/>
      </c>
      <c r="O406" s="301" t="str">
        <f>IF(AND('PT Fee'!E100="Yes"),VLOOKUP('Fee Summary'!A96,'PT Fee'!$A$18:$G$167,7,FALSE),"")</f>
        <v/>
      </c>
      <c r="AH406" s="457"/>
    </row>
    <row r="407" spans="11:34" ht="15.75" hidden="1" x14ac:dyDescent="0.25">
      <c r="K407" s="301" t="str">
        <f>IF(ISERROR(RANK(L407,$L$23:$L$473,1)+COUNTIF($L$23:L407,L407)-1)=TRUE,"",RANK(L407,$L$23:$L$473,1)+COUNTIF($L$23:L407,L407)-1)</f>
        <v/>
      </c>
      <c r="L407" s="301" t="str">
        <f t="shared" si="39"/>
        <v/>
      </c>
      <c r="M407" s="301" t="str">
        <f>IF(AND('PT Fee'!E101="Yes"),VLOOKUP('Fee Summary'!A97,'PT Fee'!$A$18:$G$167,2,FALSE),"")</f>
        <v/>
      </c>
      <c r="N407" s="301" t="str">
        <f>IF(AND('PT Fee'!E101="Yes"),CONCATENATE(VLOOKUP('Fee Summary'!A97,'PT Fee'!$A$18:$G$167,3,FALSE)," - ",VLOOKUP('Fee Summary'!A97,'PT Fee'!$A$18:$G$167,4,FALSE)),"")</f>
        <v/>
      </c>
      <c r="O407" s="301" t="str">
        <f>IF(AND('PT Fee'!E101="Yes"),VLOOKUP('Fee Summary'!A97,'PT Fee'!$A$18:$G$167,7,FALSE),"")</f>
        <v/>
      </c>
      <c r="AH407" s="457"/>
    </row>
    <row r="408" spans="11:34" ht="15.75" hidden="1" x14ac:dyDescent="0.25">
      <c r="K408" s="301" t="str">
        <f>IF(ISERROR(RANK(L408,$L$23:$L$473,1)+COUNTIF($L$23:L408,L408)-1)=TRUE,"",RANK(L408,$L$23:$L$473,1)+COUNTIF($L$23:L408,L408)-1)</f>
        <v/>
      </c>
      <c r="L408" s="301" t="str">
        <f t="shared" si="39"/>
        <v/>
      </c>
      <c r="M408" s="301" t="str">
        <f>IF(AND('PT Fee'!E102="Yes"),VLOOKUP('Fee Summary'!A98,'PT Fee'!$A$18:$G$167,2,FALSE),"")</f>
        <v/>
      </c>
      <c r="N408" s="301" t="str">
        <f>IF(AND('PT Fee'!E102="Yes"),CONCATENATE(VLOOKUP('Fee Summary'!A98,'PT Fee'!$A$18:$G$167,3,FALSE)," - ",VLOOKUP('Fee Summary'!A98,'PT Fee'!$A$18:$G$167,4,FALSE)),"")</f>
        <v/>
      </c>
      <c r="O408" s="301" t="str">
        <f>IF(AND('PT Fee'!E102="Yes"),VLOOKUP('Fee Summary'!A98,'PT Fee'!$A$18:$G$167,7,FALSE),"")</f>
        <v/>
      </c>
      <c r="AH408" s="457"/>
    </row>
    <row r="409" spans="11:34" ht="15.75" hidden="1" x14ac:dyDescent="0.25">
      <c r="K409" s="301" t="str">
        <f>IF(ISERROR(RANK(L409,$L$23:$L$473,1)+COUNTIF($L$23:L409,L409)-1)=TRUE,"",RANK(L409,$L$23:$L$473,1)+COUNTIF($L$23:L409,L409)-1)</f>
        <v/>
      </c>
      <c r="L409" s="301" t="str">
        <f t="shared" si="39"/>
        <v/>
      </c>
      <c r="M409" s="301" t="str">
        <f>IF(AND('PT Fee'!E103="Yes"),VLOOKUP('Fee Summary'!A99,'PT Fee'!$A$18:$G$167,2,FALSE),"")</f>
        <v/>
      </c>
      <c r="N409" s="301" t="str">
        <f>IF(AND('PT Fee'!E103="Yes"),CONCATENATE(VLOOKUP('Fee Summary'!A99,'PT Fee'!$A$18:$G$167,3,FALSE)," - ",VLOOKUP('Fee Summary'!A99,'PT Fee'!$A$18:$G$167,4,FALSE)),"")</f>
        <v/>
      </c>
      <c r="O409" s="301" t="str">
        <f>IF(AND('PT Fee'!E103="Yes"),VLOOKUP('Fee Summary'!A99,'PT Fee'!$A$18:$G$167,7,FALSE),"")</f>
        <v/>
      </c>
      <c r="AH409" s="457"/>
    </row>
    <row r="410" spans="11:34" ht="15.75" hidden="1" x14ac:dyDescent="0.25">
      <c r="K410" s="301" t="str">
        <f>IF(ISERROR(RANK(L410,$L$23:$L$473,1)+COUNTIF($L$23:L410,L410)-1)=TRUE,"",RANK(L410,$L$23:$L$473,1)+COUNTIF($L$23:L410,L410)-1)</f>
        <v/>
      </c>
      <c r="L410" s="301" t="str">
        <f t="shared" si="39"/>
        <v/>
      </c>
      <c r="M410" s="301" t="str">
        <f>IF(AND('PT Fee'!E104="Yes"),VLOOKUP('Fee Summary'!A100,'PT Fee'!$A$18:$G$167,2,FALSE),"")</f>
        <v/>
      </c>
      <c r="N410" s="301" t="str">
        <f>IF(AND('PT Fee'!E104="Yes"),CONCATENATE(VLOOKUP('Fee Summary'!A100,'PT Fee'!$A$18:$G$167,3,FALSE)," - ",VLOOKUP('Fee Summary'!A100,'PT Fee'!$A$18:$G$167,4,FALSE)),"")</f>
        <v/>
      </c>
      <c r="O410" s="301" t="str">
        <f>IF(AND('PT Fee'!E104="Yes"),VLOOKUP('Fee Summary'!A100,'PT Fee'!$A$18:$G$167,7,FALSE),"")</f>
        <v/>
      </c>
      <c r="AH410" s="457"/>
    </row>
    <row r="411" spans="11:34" ht="15.75" hidden="1" x14ac:dyDescent="0.25">
      <c r="K411" s="301" t="str">
        <f>IF(ISERROR(RANK(L411,$L$23:$L$473,1)+COUNTIF($L$23:L411,L411)-1)=TRUE,"",RANK(L411,$L$23:$L$473,1)+COUNTIF($L$23:L411,L411)-1)</f>
        <v/>
      </c>
      <c r="L411" s="301" t="str">
        <f t="shared" si="39"/>
        <v/>
      </c>
      <c r="M411" s="301" t="str">
        <f>IF(AND('PT Fee'!E105="Yes"),VLOOKUP('Fee Summary'!A101,'PT Fee'!$A$18:$G$167,2,FALSE),"")</f>
        <v/>
      </c>
      <c r="N411" s="301" t="str">
        <f>IF(AND('PT Fee'!E105="Yes"),CONCATENATE(VLOOKUP('Fee Summary'!A101,'PT Fee'!$A$18:$G$167,3,FALSE)," - ",VLOOKUP('Fee Summary'!A101,'PT Fee'!$A$18:$G$167,4,FALSE)),"")</f>
        <v/>
      </c>
      <c r="O411" s="301" t="str">
        <f>IF(AND('PT Fee'!E105="Yes"),VLOOKUP('Fee Summary'!A101,'PT Fee'!$A$18:$G$167,7,FALSE),"")</f>
        <v/>
      </c>
      <c r="AH411" s="457"/>
    </row>
    <row r="412" spans="11:34" ht="15.75" hidden="1" x14ac:dyDescent="0.25">
      <c r="K412" s="301" t="str">
        <f>IF(ISERROR(RANK(L412,$L$23:$L$473,1)+COUNTIF($L$23:L412,L412)-1)=TRUE,"",RANK(L412,$L$23:$L$473,1)+COUNTIF($L$23:L412,L412)-1)</f>
        <v/>
      </c>
      <c r="L412" s="301" t="str">
        <f t="shared" si="39"/>
        <v/>
      </c>
      <c r="M412" s="301" t="str">
        <f>IF(AND('PT Fee'!E106="Yes"),VLOOKUP('Fee Summary'!A102,'PT Fee'!$A$18:$G$167,2,FALSE),"")</f>
        <v/>
      </c>
      <c r="N412" s="301" t="str">
        <f>IF(AND('PT Fee'!E106="Yes"),CONCATENATE(VLOOKUP('Fee Summary'!A102,'PT Fee'!$A$18:$G$167,3,FALSE)," - ",VLOOKUP('Fee Summary'!A102,'PT Fee'!$A$18:$G$167,4,FALSE)),"")</f>
        <v/>
      </c>
      <c r="O412" s="301" t="str">
        <f>IF(AND('PT Fee'!E106="Yes"),VLOOKUP('Fee Summary'!A102,'PT Fee'!$A$18:$G$167,7,FALSE),"")</f>
        <v/>
      </c>
      <c r="AH412" s="457"/>
    </row>
    <row r="413" spans="11:34" ht="15.75" hidden="1" x14ac:dyDescent="0.25">
      <c r="K413" s="301" t="str">
        <f>IF(ISERROR(RANK(L413,$L$23:$L$473,1)+COUNTIF($L$23:L413,L413)-1)=TRUE,"",RANK(L413,$L$23:$L$473,1)+COUNTIF($L$23:L413,L413)-1)</f>
        <v/>
      </c>
      <c r="L413" s="301" t="str">
        <f t="shared" si="39"/>
        <v/>
      </c>
      <c r="M413" s="301" t="str">
        <f>IF(AND('PT Fee'!E107="Yes"),VLOOKUP('Fee Summary'!A103,'PT Fee'!$A$18:$G$167,2,FALSE),"")</f>
        <v/>
      </c>
      <c r="N413" s="301" t="str">
        <f>IF(AND('PT Fee'!E107="Yes"),CONCATENATE(VLOOKUP('Fee Summary'!A103,'PT Fee'!$A$18:$G$167,3,FALSE)," - ",VLOOKUP('Fee Summary'!A103,'PT Fee'!$A$18:$G$167,4,FALSE)),"")</f>
        <v/>
      </c>
      <c r="O413" s="301" t="str">
        <f>IF(AND('PT Fee'!E107="Yes"),VLOOKUP('Fee Summary'!A103,'PT Fee'!$A$18:$G$167,7,FALSE),"")</f>
        <v/>
      </c>
      <c r="AH413" s="457"/>
    </row>
    <row r="414" spans="11:34" ht="15.75" hidden="1" x14ac:dyDescent="0.25">
      <c r="K414" s="301" t="str">
        <f>IF(ISERROR(RANK(L414,$L$23:$L$473,1)+COUNTIF($L$23:L414,L414)-1)=TRUE,"",RANK(L414,$L$23:$L$473,1)+COUNTIF($L$23:L414,L414)-1)</f>
        <v/>
      </c>
      <c r="L414" s="301" t="str">
        <f t="shared" si="39"/>
        <v/>
      </c>
      <c r="M414" s="301" t="str">
        <f>IF(AND('PT Fee'!E108="Yes"),VLOOKUP('Fee Summary'!A104,'PT Fee'!$A$18:$G$167,2,FALSE),"")</f>
        <v/>
      </c>
      <c r="N414" s="301" t="str">
        <f>IF(AND('PT Fee'!E108="Yes"),CONCATENATE(VLOOKUP('Fee Summary'!A104,'PT Fee'!$A$18:$G$167,3,FALSE)," - ",VLOOKUP('Fee Summary'!A104,'PT Fee'!$A$18:$G$167,4,FALSE)),"")</f>
        <v/>
      </c>
      <c r="O414" s="301" t="str">
        <f>IF(AND('PT Fee'!E108="Yes"),VLOOKUP('Fee Summary'!A104,'PT Fee'!$A$18:$G$167,7,FALSE),"")</f>
        <v/>
      </c>
      <c r="AH414" s="457"/>
    </row>
    <row r="415" spans="11:34" ht="15.75" hidden="1" x14ac:dyDescent="0.25">
      <c r="K415" s="301" t="str">
        <f>IF(ISERROR(RANK(L415,$L$23:$L$473,1)+COUNTIF($L$23:L415,L415)-1)=TRUE,"",RANK(L415,$L$23:$L$473,1)+COUNTIF($L$23:L415,L415)-1)</f>
        <v/>
      </c>
      <c r="L415" s="301" t="str">
        <f t="shared" si="39"/>
        <v/>
      </c>
      <c r="M415" s="301" t="str">
        <f>IF(AND('PT Fee'!E109="Yes"),VLOOKUP('Fee Summary'!A105,'PT Fee'!$A$18:$G$167,2,FALSE),"")</f>
        <v/>
      </c>
      <c r="N415" s="301" t="str">
        <f>IF(AND('PT Fee'!E109="Yes"),CONCATENATE(VLOOKUP('Fee Summary'!A105,'PT Fee'!$A$18:$G$167,3,FALSE)," - ",VLOOKUP('Fee Summary'!A105,'PT Fee'!$A$18:$G$167,4,FALSE)),"")</f>
        <v/>
      </c>
      <c r="O415" s="301" t="str">
        <f>IF(AND('PT Fee'!E109="Yes"),VLOOKUP('Fee Summary'!A105,'PT Fee'!$A$18:$G$167,7,FALSE),"")</f>
        <v/>
      </c>
      <c r="AH415" s="457"/>
    </row>
    <row r="416" spans="11:34" ht="15.75" hidden="1" x14ac:dyDescent="0.25">
      <c r="K416" s="301" t="str">
        <f>IF(ISERROR(RANK(L416,$L$23:$L$473,1)+COUNTIF($L$23:L416,L416)-1)=TRUE,"",RANK(L416,$L$23:$L$473,1)+COUNTIF($L$23:L416,L416)-1)</f>
        <v/>
      </c>
      <c r="L416" s="301" t="str">
        <f t="shared" si="39"/>
        <v/>
      </c>
      <c r="M416" s="301" t="str">
        <f>IF(AND('PT Fee'!E110="Yes"),VLOOKUP('Fee Summary'!A106,'PT Fee'!$A$18:$G$167,2,FALSE),"")</f>
        <v/>
      </c>
      <c r="N416" s="301" t="str">
        <f>IF(AND('PT Fee'!E110="Yes"),CONCATENATE(VLOOKUP('Fee Summary'!A106,'PT Fee'!$A$18:$G$167,3,FALSE)," - ",VLOOKUP('Fee Summary'!A106,'PT Fee'!$A$18:$G$167,4,FALSE)),"")</f>
        <v/>
      </c>
      <c r="O416" s="301" t="str">
        <f>IF(AND('PT Fee'!E110="Yes"),VLOOKUP('Fee Summary'!A106,'PT Fee'!$A$18:$G$167,7,FALSE),"")</f>
        <v/>
      </c>
      <c r="AH416" s="457"/>
    </row>
    <row r="417" spans="11:34" ht="15.75" hidden="1" x14ac:dyDescent="0.25">
      <c r="K417" s="301" t="str">
        <f>IF(ISERROR(RANK(L417,$L$23:$L$473,1)+COUNTIF($L$23:L417,L417)-1)=TRUE,"",RANK(L417,$L$23:$L$473,1)+COUNTIF($L$23:L417,L417)-1)</f>
        <v/>
      </c>
      <c r="L417" s="301" t="str">
        <f t="shared" si="39"/>
        <v/>
      </c>
      <c r="M417" s="301" t="str">
        <f>IF(AND('PT Fee'!E111="Yes"),VLOOKUP('Fee Summary'!A107,'PT Fee'!$A$18:$G$167,2,FALSE),"")</f>
        <v/>
      </c>
      <c r="N417" s="301" t="str">
        <f>IF(AND('PT Fee'!E111="Yes"),CONCATENATE(VLOOKUP('Fee Summary'!A107,'PT Fee'!$A$18:$G$167,3,FALSE)," - ",VLOOKUP('Fee Summary'!A107,'PT Fee'!$A$18:$G$167,4,FALSE)),"")</f>
        <v/>
      </c>
      <c r="O417" s="301" t="str">
        <f>IF(AND('PT Fee'!E111="Yes"),VLOOKUP('Fee Summary'!A107,'PT Fee'!$A$18:$G$167,7,FALSE),"")</f>
        <v/>
      </c>
      <c r="AH417" s="457"/>
    </row>
    <row r="418" spans="11:34" ht="15.75" hidden="1" x14ac:dyDescent="0.25">
      <c r="K418" s="301" t="str">
        <f>IF(ISERROR(RANK(L418,$L$23:$L$473,1)+COUNTIF($L$23:L418,L418)-1)=TRUE,"",RANK(L418,$L$23:$L$473,1)+COUNTIF($L$23:L418,L418)-1)</f>
        <v/>
      </c>
      <c r="L418" s="301" t="str">
        <f t="shared" si="39"/>
        <v/>
      </c>
      <c r="M418" s="301" t="str">
        <f>IF(AND('PT Fee'!E112="Yes"),VLOOKUP('Fee Summary'!A108,'PT Fee'!$A$18:$G$167,2,FALSE),"")</f>
        <v/>
      </c>
      <c r="N418" s="301" t="str">
        <f>IF(AND('PT Fee'!E112="Yes"),CONCATENATE(VLOOKUP('Fee Summary'!A108,'PT Fee'!$A$18:$G$167,3,FALSE)," - ",VLOOKUP('Fee Summary'!A108,'PT Fee'!$A$18:$G$167,4,FALSE)),"")</f>
        <v/>
      </c>
      <c r="O418" s="301" t="str">
        <f>IF(AND('PT Fee'!E112="Yes"),VLOOKUP('Fee Summary'!A108,'PT Fee'!$A$18:$G$167,7,FALSE),"")</f>
        <v/>
      </c>
      <c r="AH418" s="457"/>
    </row>
    <row r="419" spans="11:34" ht="15.75" hidden="1" x14ac:dyDescent="0.25">
      <c r="K419" s="301" t="str">
        <f>IF(ISERROR(RANK(L419,$L$23:$L$473,1)+COUNTIF($L$23:L419,L419)-1)=TRUE,"",RANK(L419,$L$23:$L$473,1)+COUNTIF($L$23:L419,L419)-1)</f>
        <v/>
      </c>
      <c r="L419" s="301" t="str">
        <f t="shared" si="39"/>
        <v/>
      </c>
      <c r="M419" s="301" t="str">
        <f>IF(AND('PT Fee'!E113="Yes"),VLOOKUP('Fee Summary'!A109,'PT Fee'!$A$18:$G$167,2,FALSE),"")</f>
        <v/>
      </c>
      <c r="N419" s="301" t="str">
        <f>IF(AND('PT Fee'!E113="Yes"),CONCATENATE(VLOOKUP('Fee Summary'!A109,'PT Fee'!$A$18:$G$167,3,FALSE)," - ",VLOOKUP('Fee Summary'!A109,'PT Fee'!$A$18:$G$167,4,FALSE)),"")</f>
        <v/>
      </c>
      <c r="O419" s="301" t="str">
        <f>IF(AND('PT Fee'!E113="Yes"),VLOOKUP('Fee Summary'!A109,'PT Fee'!$A$18:$G$167,7,FALSE),"")</f>
        <v/>
      </c>
      <c r="AH419" s="457"/>
    </row>
    <row r="420" spans="11:34" ht="15.75" hidden="1" x14ac:dyDescent="0.25">
      <c r="K420" s="301" t="str">
        <f>IF(ISERROR(RANK(L420,$L$23:$L$473,1)+COUNTIF($L$23:L420,L420)-1)=TRUE,"",RANK(L420,$L$23:$L$473,1)+COUNTIF($L$23:L420,L420)-1)</f>
        <v/>
      </c>
      <c r="L420" s="301" t="str">
        <f t="shared" ref="L420:L451" si="40">IF(ISERROR(VLOOKUP(M420,$S$10:$S$20,1,FALSE))=TRUE,"",VLOOKUP(M420,$S$10:$U$20,2,FALSE))</f>
        <v/>
      </c>
      <c r="M420" s="301" t="str">
        <f>IF(AND('PT Fee'!E114="Yes"),VLOOKUP('Fee Summary'!A110,'PT Fee'!$A$18:$G$167,2,FALSE),"")</f>
        <v/>
      </c>
      <c r="N420" s="301" t="str">
        <f>IF(AND('PT Fee'!E114="Yes"),CONCATENATE(VLOOKUP('Fee Summary'!A110,'PT Fee'!$A$18:$G$167,3,FALSE)," - ",VLOOKUP('Fee Summary'!A110,'PT Fee'!$A$18:$G$167,4,FALSE)),"")</f>
        <v/>
      </c>
      <c r="O420" s="301" t="str">
        <f>IF(AND('PT Fee'!E114="Yes"),VLOOKUP('Fee Summary'!A110,'PT Fee'!$A$18:$G$167,7,FALSE),"")</f>
        <v/>
      </c>
      <c r="AH420" s="457"/>
    </row>
    <row r="421" spans="11:34" ht="15.75" hidden="1" x14ac:dyDescent="0.25">
      <c r="K421" s="301" t="str">
        <f>IF(ISERROR(RANK(L421,$L$23:$L$473,1)+COUNTIF($L$23:L421,L421)-1)=TRUE,"",RANK(L421,$L$23:$L$473,1)+COUNTIF($L$23:L421,L421)-1)</f>
        <v/>
      </c>
      <c r="L421" s="301" t="str">
        <f t="shared" si="40"/>
        <v/>
      </c>
      <c r="M421" s="301" t="str">
        <f>IF(AND('PT Fee'!E115="Yes"),VLOOKUP('Fee Summary'!A111,'PT Fee'!$A$18:$G$167,2,FALSE),"")</f>
        <v/>
      </c>
      <c r="N421" s="301" t="str">
        <f>IF(AND('PT Fee'!E115="Yes"),CONCATENATE(VLOOKUP('Fee Summary'!A111,'PT Fee'!$A$18:$G$167,3,FALSE)," - ",VLOOKUP('Fee Summary'!A111,'PT Fee'!$A$18:$G$167,4,FALSE)),"")</f>
        <v/>
      </c>
      <c r="O421" s="301" t="str">
        <f>IF(AND('PT Fee'!E115="Yes"),VLOOKUP('Fee Summary'!A111,'PT Fee'!$A$18:$G$167,7,FALSE),"")</f>
        <v/>
      </c>
      <c r="AH421" s="457"/>
    </row>
    <row r="422" spans="11:34" ht="15.75" hidden="1" x14ac:dyDescent="0.25">
      <c r="K422" s="301" t="str">
        <f>IF(ISERROR(RANK(L422,$L$23:$L$473,1)+COUNTIF($L$23:L422,L422)-1)=TRUE,"",RANK(L422,$L$23:$L$473,1)+COUNTIF($L$23:L422,L422)-1)</f>
        <v/>
      </c>
      <c r="L422" s="301" t="str">
        <f t="shared" si="40"/>
        <v/>
      </c>
      <c r="M422" s="301" t="str">
        <f>IF(AND('PT Fee'!E116="Yes"),VLOOKUP('Fee Summary'!A112,'PT Fee'!$A$18:$G$167,2,FALSE),"")</f>
        <v/>
      </c>
      <c r="N422" s="301" t="str">
        <f>IF(AND('PT Fee'!E116="Yes"),CONCATENATE(VLOOKUP('Fee Summary'!A112,'PT Fee'!$A$18:$G$167,3,FALSE)," - ",VLOOKUP('Fee Summary'!A112,'PT Fee'!$A$18:$G$167,4,FALSE)),"")</f>
        <v/>
      </c>
      <c r="O422" s="301" t="str">
        <f>IF(AND('PT Fee'!E116="Yes"),VLOOKUP('Fee Summary'!A112,'PT Fee'!$A$18:$G$167,7,FALSE),"")</f>
        <v/>
      </c>
      <c r="AH422" s="457"/>
    </row>
    <row r="423" spans="11:34" ht="15.75" hidden="1" x14ac:dyDescent="0.25">
      <c r="K423" s="301" t="str">
        <f>IF(ISERROR(RANK(L423,$L$23:$L$473,1)+COUNTIF($L$23:L423,L423)-1)=TRUE,"",RANK(L423,$L$23:$L$473,1)+COUNTIF($L$23:L423,L423)-1)</f>
        <v/>
      </c>
      <c r="L423" s="301" t="str">
        <f t="shared" si="40"/>
        <v/>
      </c>
      <c r="M423" s="301" t="str">
        <f>IF(AND('PT Fee'!E117="Yes"),VLOOKUP('Fee Summary'!A113,'PT Fee'!$A$18:$G$167,2,FALSE),"")</f>
        <v/>
      </c>
      <c r="N423" s="301" t="str">
        <f>IF(AND('PT Fee'!E117="Yes"),CONCATENATE(VLOOKUP('Fee Summary'!A113,'PT Fee'!$A$18:$G$167,3,FALSE)," - ",VLOOKUP('Fee Summary'!A113,'PT Fee'!$A$18:$G$167,4,FALSE)),"")</f>
        <v/>
      </c>
      <c r="O423" s="301" t="str">
        <f>IF(AND('PT Fee'!E117="Yes"),VLOOKUP('Fee Summary'!A113,'PT Fee'!$A$18:$G$167,7,FALSE),"")</f>
        <v/>
      </c>
      <c r="AH423" s="457"/>
    </row>
    <row r="424" spans="11:34" ht="15.75" hidden="1" x14ac:dyDescent="0.25">
      <c r="K424" s="301" t="str">
        <f>IF(ISERROR(RANK(L424,$L$23:$L$473,1)+COUNTIF($L$23:L424,L424)-1)=TRUE,"",RANK(L424,$L$23:$L$473,1)+COUNTIF($L$23:L424,L424)-1)</f>
        <v/>
      </c>
      <c r="L424" s="301" t="str">
        <f t="shared" si="40"/>
        <v/>
      </c>
      <c r="M424" s="301" t="str">
        <f>IF(AND('PT Fee'!E118="Yes"),VLOOKUP('Fee Summary'!A114,'PT Fee'!$A$18:$G$167,2,FALSE),"")</f>
        <v/>
      </c>
      <c r="N424" s="301" t="str">
        <f>IF(AND('PT Fee'!E118="Yes"),CONCATENATE(VLOOKUP('Fee Summary'!A114,'PT Fee'!$A$18:$G$167,3,FALSE)," - ",VLOOKUP('Fee Summary'!A114,'PT Fee'!$A$18:$G$167,4,FALSE)),"")</f>
        <v/>
      </c>
      <c r="O424" s="301" t="str">
        <f>IF(AND('PT Fee'!E118="Yes"),VLOOKUP('Fee Summary'!A114,'PT Fee'!$A$18:$G$167,7,FALSE),"")</f>
        <v/>
      </c>
      <c r="AH424" s="457"/>
    </row>
    <row r="425" spans="11:34" ht="15.75" hidden="1" x14ac:dyDescent="0.25">
      <c r="K425" s="301" t="str">
        <f>IF(ISERROR(RANK(L425,$L$23:$L$473,1)+COUNTIF($L$23:L425,L425)-1)=TRUE,"",RANK(L425,$L$23:$L$473,1)+COUNTIF($L$23:L425,L425)-1)</f>
        <v/>
      </c>
      <c r="L425" s="301" t="str">
        <f t="shared" si="40"/>
        <v/>
      </c>
      <c r="M425" s="301" t="str">
        <f>IF(AND('PT Fee'!E119="Yes"),VLOOKUP('Fee Summary'!A115,'PT Fee'!$A$18:$G$167,2,FALSE),"")</f>
        <v/>
      </c>
      <c r="N425" s="301" t="str">
        <f>IF(AND('PT Fee'!E119="Yes"),CONCATENATE(VLOOKUP('Fee Summary'!A115,'PT Fee'!$A$18:$G$167,3,FALSE)," - ",VLOOKUP('Fee Summary'!A115,'PT Fee'!$A$18:$G$167,4,FALSE)),"")</f>
        <v/>
      </c>
      <c r="O425" s="301" t="str">
        <f>IF(AND('PT Fee'!E119="Yes"),VLOOKUP('Fee Summary'!A115,'PT Fee'!$A$18:$G$167,7,FALSE),"")</f>
        <v/>
      </c>
      <c r="AH425" s="457"/>
    </row>
    <row r="426" spans="11:34" ht="15.75" hidden="1" x14ac:dyDescent="0.25">
      <c r="K426" s="301" t="str">
        <f>IF(ISERROR(RANK(L426,$L$23:$L$473,1)+COUNTIF($L$23:L426,L426)-1)=TRUE,"",RANK(L426,$L$23:$L$473,1)+COUNTIF($L$23:L426,L426)-1)</f>
        <v/>
      </c>
      <c r="L426" s="301" t="str">
        <f t="shared" si="40"/>
        <v/>
      </c>
      <c r="M426" s="301" t="str">
        <f>IF(AND('PT Fee'!E120="Yes"),VLOOKUP('Fee Summary'!A116,'PT Fee'!$A$18:$G$167,2,FALSE),"")</f>
        <v/>
      </c>
      <c r="N426" s="301" t="str">
        <f>IF(AND('PT Fee'!E120="Yes"),CONCATENATE(VLOOKUP('Fee Summary'!A116,'PT Fee'!$A$18:$G$167,3,FALSE)," - ",VLOOKUP('Fee Summary'!A116,'PT Fee'!$A$18:$G$167,4,FALSE)),"")</f>
        <v/>
      </c>
      <c r="O426" s="301" t="str">
        <f>IF(AND('PT Fee'!E120="Yes"),VLOOKUP('Fee Summary'!A116,'PT Fee'!$A$18:$G$167,7,FALSE),"")</f>
        <v/>
      </c>
      <c r="AH426" s="457"/>
    </row>
    <row r="427" spans="11:34" ht="15.75" hidden="1" x14ac:dyDescent="0.25">
      <c r="K427" s="301" t="str">
        <f>IF(ISERROR(RANK(L427,$L$23:$L$473,1)+COUNTIF($L$23:L427,L427)-1)=TRUE,"",RANK(L427,$L$23:$L$473,1)+COUNTIF($L$23:L427,L427)-1)</f>
        <v/>
      </c>
      <c r="L427" s="301" t="str">
        <f t="shared" si="40"/>
        <v/>
      </c>
      <c r="M427" s="301" t="str">
        <f>IF(AND('PT Fee'!E121="Yes"),VLOOKUP('Fee Summary'!A117,'PT Fee'!$A$18:$G$167,2,FALSE),"")</f>
        <v/>
      </c>
      <c r="N427" s="301" t="str">
        <f>IF(AND('PT Fee'!E121="Yes"),CONCATENATE(VLOOKUP('Fee Summary'!A117,'PT Fee'!$A$18:$G$167,3,FALSE)," - ",VLOOKUP('Fee Summary'!A117,'PT Fee'!$A$18:$G$167,4,FALSE)),"")</f>
        <v/>
      </c>
      <c r="O427" s="301" t="str">
        <f>IF(AND('PT Fee'!E121="Yes"),VLOOKUP('Fee Summary'!A117,'PT Fee'!$A$18:$G$167,7,FALSE),"")</f>
        <v/>
      </c>
      <c r="AH427" s="457"/>
    </row>
    <row r="428" spans="11:34" ht="15.75" hidden="1" x14ac:dyDescent="0.25">
      <c r="K428" s="301" t="str">
        <f>IF(ISERROR(RANK(L428,$L$23:$L$473,1)+COUNTIF($L$23:L428,L428)-1)=TRUE,"",RANK(L428,$L$23:$L$473,1)+COUNTIF($L$23:L428,L428)-1)</f>
        <v/>
      </c>
      <c r="L428" s="301" t="str">
        <f t="shared" si="40"/>
        <v/>
      </c>
      <c r="M428" s="301" t="str">
        <f>IF(AND('PT Fee'!E122="Yes"),VLOOKUP('Fee Summary'!A118,'PT Fee'!$A$18:$G$167,2,FALSE),"")</f>
        <v/>
      </c>
      <c r="N428" s="301" t="str">
        <f>IF(AND('PT Fee'!E122="Yes"),CONCATENATE(VLOOKUP('Fee Summary'!A118,'PT Fee'!$A$18:$G$167,3,FALSE)," - ",VLOOKUP('Fee Summary'!A118,'PT Fee'!$A$18:$G$167,4,FALSE)),"")</f>
        <v/>
      </c>
      <c r="O428" s="301" t="str">
        <f>IF(AND('PT Fee'!E122="Yes"),VLOOKUP('Fee Summary'!A118,'PT Fee'!$A$18:$G$167,7,FALSE),"")</f>
        <v/>
      </c>
      <c r="AH428" s="457"/>
    </row>
    <row r="429" spans="11:34" ht="15.75" hidden="1" x14ac:dyDescent="0.25">
      <c r="K429" s="301" t="str">
        <f>IF(ISERROR(RANK(L429,$L$23:$L$473,1)+COUNTIF($L$23:L429,L429)-1)=TRUE,"",RANK(L429,$L$23:$L$473,1)+COUNTIF($L$23:L429,L429)-1)</f>
        <v/>
      </c>
      <c r="L429" s="301" t="str">
        <f t="shared" si="40"/>
        <v/>
      </c>
      <c r="M429" s="301" t="str">
        <f>IF(AND('PT Fee'!E123="Yes"),VLOOKUP('Fee Summary'!A119,'PT Fee'!$A$18:$G$167,2,FALSE),"")</f>
        <v/>
      </c>
      <c r="N429" s="301" t="str">
        <f>IF(AND('PT Fee'!E123="Yes"),CONCATENATE(VLOOKUP('Fee Summary'!A119,'PT Fee'!$A$18:$G$167,3,FALSE)," - ",VLOOKUP('Fee Summary'!A119,'PT Fee'!$A$18:$G$167,4,FALSE)),"")</f>
        <v/>
      </c>
      <c r="O429" s="301" t="str">
        <f>IF(AND('PT Fee'!E123="Yes"),VLOOKUP('Fee Summary'!A119,'PT Fee'!$A$18:$G$167,7,FALSE),"")</f>
        <v/>
      </c>
      <c r="AH429" s="457"/>
    </row>
    <row r="430" spans="11:34" ht="15.75" hidden="1" x14ac:dyDescent="0.25">
      <c r="K430" s="301" t="str">
        <f>IF(ISERROR(RANK(L430,$L$23:$L$473,1)+COUNTIF($L$23:L430,L430)-1)=TRUE,"",RANK(L430,$L$23:$L$473,1)+COUNTIF($L$23:L430,L430)-1)</f>
        <v/>
      </c>
      <c r="L430" s="301" t="str">
        <f t="shared" si="40"/>
        <v/>
      </c>
      <c r="M430" s="301" t="str">
        <f>IF(AND('PT Fee'!E124="Yes"),VLOOKUP('Fee Summary'!A120,'PT Fee'!$A$18:$G$167,2,FALSE),"")</f>
        <v/>
      </c>
      <c r="N430" s="301" t="str">
        <f>IF(AND('PT Fee'!E124="Yes"),CONCATENATE(VLOOKUP('Fee Summary'!A120,'PT Fee'!$A$18:$G$167,3,FALSE)," - ",VLOOKUP('Fee Summary'!A120,'PT Fee'!$A$18:$G$167,4,FALSE)),"")</f>
        <v/>
      </c>
      <c r="O430" s="301" t="str">
        <f>IF(AND('PT Fee'!E124="Yes"),VLOOKUP('Fee Summary'!A120,'PT Fee'!$A$18:$G$167,7,FALSE),"")</f>
        <v/>
      </c>
      <c r="AH430" s="457"/>
    </row>
    <row r="431" spans="11:34" ht="15.75" hidden="1" x14ac:dyDescent="0.25">
      <c r="K431" s="301" t="str">
        <f>IF(ISERROR(RANK(L431,$L$23:$L$473,1)+COUNTIF($L$23:L431,L431)-1)=TRUE,"",RANK(L431,$L$23:$L$473,1)+COUNTIF($L$23:L431,L431)-1)</f>
        <v/>
      </c>
      <c r="L431" s="301" t="str">
        <f t="shared" si="40"/>
        <v/>
      </c>
      <c r="M431" s="301" t="str">
        <f>IF(AND('PT Fee'!E125="Yes"),VLOOKUP('Fee Summary'!A121,'PT Fee'!$A$18:$G$167,2,FALSE),"")</f>
        <v/>
      </c>
      <c r="N431" s="301" t="str">
        <f>IF(AND('PT Fee'!E125="Yes"),CONCATENATE(VLOOKUP('Fee Summary'!A121,'PT Fee'!$A$18:$G$167,3,FALSE)," - ",VLOOKUP('Fee Summary'!A121,'PT Fee'!$A$18:$G$167,4,FALSE)),"")</f>
        <v/>
      </c>
      <c r="O431" s="301" t="str">
        <f>IF(AND('PT Fee'!E125="Yes"),VLOOKUP('Fee Summary'!A121,'PT Fee'!$A$18:$G$167,7,FALSE),"")</f>
        <v/>
      </c>
      <c r="AH431" s="457"/>
    </row>
    <row r="432" spans="11:34" ht="15.75" hidden="1" x14ac:dyDescent="0.25">
      <c r="K432" s="301" t="str">
        <f>IF(ISERROR(RANK(L432,$L$23:$L$473,1)+COUNTIF($L$23:L432,L432)-1)=TRUE,"",RANK(L432,$L$23:$L$473,1)+COUNTIF($L$23:L432,L432)-1)</f>
        <v/>
      </c>
      <c r="L432" s="301" t="str">
        <f t="shared" si="40"/>
        <v/>
      </c>
      <c r="M432" s="301" t="str">
        <f>IF(AND('PT Fee'!E126="Yes"),VLOOKUP('Fee Summary'!A122,'PT Fee'!$A$18:$G$167,2,FALSE),"")</f>
        <v/>
      </c>
      <c r="N432" s="301" t="str">
        <f>IF(AND('PT Fee'!E126="Yes"),CONCATENATE(VLOOKUP('Fee Summary'!A122,'PT Fee'!$A$18:$G$167,3,FALSE)," - ",VLOOKUP('Fee Summary'!A122,'PT Fee'!$A$18:$G$167,4,FALSE)),"")</f>
        <v/>
      </c>
      <c r="O432" s="301" t="str">
        <f>IF(AND('PT Fee'!E126="Yes"),VLOOKUP('Fee Summary'!A122,'PT Fee'!$A$18:$G$167,7,FALSE),"")</f>
        <v/>
      </c>
      <c r="AH432" s="457"/>
    </row>
    <row r="433" spans="11:34" ht="15.75" hidden="1" x14ac:dyDescent="0.25">
      <c r="K433" s="301" t="str">
        <f>IF(ISERROR(RANK(L433,$L$23:$L$473,1)+COUNTIF($L$23:L433,L433)-1)=TRUE,"",RANK(L433,$L$23:$L$473,1)+COUNTIF($L$23:L433,L433)-1)</f>
        <v/>
      </c>
      <c r="L433" s="301" t="str">
        <f t="shared" si="40"/>
        <v/>
      </c>
      <c r="M433" s="301" t="str">
        <f>IF(AND('PT Fee'!E127="Yes"),VLOOKUP('Fee Summary'!A123,'PT Fee'!$A$18:$G$167,2,FALSE),"")</f>
        <v/>
      </c>
      <c r="N433" s="301" t="str">
        <f>IF(AND('PT Fee'!E127="Yes"),CONCATENATE(VLOOKUP('Fee Summary'!A123,'PT Fee'!$A$18:$G$167,3,FALSE)," - ",VLOOKUP('Fee Summary'!A123,'PT Fee'!$A$18:$G$167,4,FALSE)),"")</f>
        <v/>
      </c>
      <c r="O433" s="301" t="str">
        <f>IF(AND('PT Fee'!E127="Yes"),VLOOKUP('Fee Summary'!A123,'PT Fee'!$A$18:$G$167,7,FALSE),"")</f>
        <v/>
      </c>
      <c r="AH433" s="457"/>
    </row>
    <row r="434" spans="11:34" ht="15.75" hidden="1" x14ac:dyDescent="0.25">
      <c r="K434" s="301" t="str">
        <f>IF(ISERROR(RANK(L434,$L$23:$L$473,1)+COUNTIF($L$23:L434,L434)-1)=TRUE,"",RANK(L434,$L$23:$L$473,1)+COUNTIF($L$23:L434,L434)-1)</f>
        <v/>
      </c>
      <c r="L434" s="301" t="str">
        <f t="shared" si="40"/>
        <v/>
      </c>
      <c r="M434" s="301" t="str">
        <f>IF(AND('PT Fee'!E128="Yes"),VLOOKUP('Fee Summary'!A124,'PT Fee'!$A$18:$G$167,2,FALSE),"")</f>
        <v/>
      </c>
      <c r="N434" s="301" t="str">
        <f>IF(AND('PT Fee'!E128="Yes"),CONCATENATE(VLOOKUP('Fee Summary'!A124,'PT Fee'!$A$18:$G$167,3,FALSE)," - ",VLOOKUP('Fee Summary'!A124,'PT Fee'!$A$18:$G$167,4,FALSE)),"")</f>
        <v/>
      </c>
      <c r="O434" s="301" t="str">
        <f>IF(AND('PT Fee'!E128="Yes"),VLOOKUP('Fee Summary'!A124,'PT Fee'!$A$18:$G$167,7,FALSE),"")</f>
        <v/>
      </c>
      <c r="AH434" s="457"/>
    </row>
    <row r="435" spans="11:34" ht="15.75" hidden="1" x14ac:dyDescent="0.25">
      <c r="K435" s="301" t="str">
        <f>IF(ISERROR(RANK(L435,$L$23:$L$473,1)+COUNTIF($L$23:L435,L435)-1)=TRUE,"",RANK(L435,$L$23:$L$473,1)+COUNTIF($L$23:L435,L435)-1)</f>
        <v/>
      </c>
      <c r="L435" s="301" t="str">
        <f t="shared" si="40"/>
        <v/>
      </c>
      <c r="M435" s="301" t="str">
        <f>IF(AND('PT Fee'!E129="Yes"),VLOOKUP('Fee Summary'!A125,'PT Fee'!$A$18:$G$167,2,FALSE),"")</f>
        <v/>
      </c>
      <c r="N435" s="301" t="str">
        <f>IF(AND('PT Fee'!E129="Yes"),CONCATENATE(VLOOKUP('Fee Summary'!A125,'PT Fee'!$A$18:$G$167,3,FALSE)," - ",VLOOKUP('Fee Summary'!A125,'PT Fee'!$A$18:$G$167,4,FALSE)),"")</f>
        <v/>
      </c>
      <c r="O435" s="301" t="str">
        <f>IF(AND('PT Fee'!E129="Yes"),VLOOKUP('Fee Summary'!A125,'PT Fee'!$A$18:$G$167,7,FALSE),"")</f>
        <v/>
      </c>
      <c r="AH435" s="457"/>
    </row>
    <row r="436" spans="11:34" ht="15.75" hidden="1" x14ac:dyDescent="0.25">
      <c r="K436" s="301" t="str">
        <f>IF(ISERROR(RANK(L436,$L$23:$L$473,1)+COUNTIF($L$23:L436,L436)-1)=TRUE,"",RANK(L436,$L$23:$L$473,1)+COUNTIF($L$23:L436,L436)-1)</f>
        <v/>
      </c>
      <c r="L436" s="301" t="str">
        <f t="shared" si="40"/>
        <v/>
      </c>
      <c r="M436" s="301" t="str">
        <f>IF(AND('PT Fee'!E130="Yes"),VLOOKUP('Fee Summary'!A126,'PT Fee'!$A$18:$G$167,2,FALSE),"")</f>
        <v/>
      </c>
      <c r="N436" s="301" t="str">
        <f>IF(AND('PT Fee'!E130="Yes"),CONCATENATE(VLOOKUP('Fee Summary'!A126,'PT Fee'!$A$18:$G$167,3,FALSE)," - ",VLOOKUP('Fee Summary'!A126,'PT Fee'!$A$18:$G$167,4,FALSE)),"")</f>
        <v/>
      </c>
      <c r="O436" s="301" t="str">
        <f>IF(AND('PT Fee'!E130="Yes"),VLOOKUP('Fee Summary'!A126,'PT Fee'!$A$18:$G$167,7,FALSE),"")</f>
        <v/>
      </c>
      <c r="AH436" s="457"/>
    </row>
    <row r="437" spans="11:34" ht="15.75" hidden="1" x14ac:dyDescent="0.25">
      <c r="K437" s="301" t="str">
        <f>IF(ISERROR(RANK(L437,$L$23:$L$473,1)+COUNTIF($L$23:L437,L437)-1)=TRUE,"",RANK(L437,$L$23:$L$473,1)+COUNTIF($L$23:L437,L437)-1)</f>
        <v/>
      </c>
      <c r="L437" s="301" t="str">
        <f t="shared" si="40"/>
        <v/>
      </c>
      <c r="M437" s="301" t="str">
        <f>IF(AND('PT Fee'!E131="Yes"),VLOOKUP('Fee Summary'!A127,'PT Fee'!$A$18:$G$167,2,FALSE),"")</f>
        <v/>
      </c>
      <c r="N437" s="301" t="str">
        <f>IF(AND('PT Fee'!E131="Yes"),CONCATENATE(VLOOKUP('Fee Summary'!A127,'PT Fee'!$A$18:$G$167,3,FALSE)," - ",VLOOKUP('Fee Summary'!A127,'PT Fee'!$A$18:$G$167,4,FALSE)),"")</f>
        <v/>
      </c>
      <c r="O437" s="301" t="str">
        <f>IF(AND('PT Fee'!E131="Yes"),VLOOKUP('Fee Summary'!A127,'PT Fee'!$A$18:$G$167,7,FALSE),"")</f>
        <v/>
      </c>
      <c r="AH437" s="457"/>
    </row>
    <row r="438" spans="11:34" ht="15.75" hidden="1" x14ac:dyDescent="0.25">
      <c r="K438" s="301" t="str">
        <f>IF(ISERROR(RANK(L438,$L$23:$L$473,1)+COUNTIF($L$23:L438,L438)-1)=TRUE,"",RANK(L438,$L$23:$L$473,1)+COUNTIF($L$23:L438,L438)-1)</f>
        <v/>
      </c>
      <c r="L438" s="301" t="str">
        <f t="shared" si="40"/>
        <v/>
      </c>
      <c r="M438" s="301" t="str">
        <f>IF(AND('PT Fee'!E132="Yes"),VLOOKUP('Fee Summary'!A128,'PT Fee'!$A$18:$G$167,2,FALSE),"")</f>
        <v/>
      </c>
      <c r="N438" s="301" t="str">
        <f>IF(AND('PT Fee'!E132="Yes"),CONCATENATE(VLOOKUP('Fee Summary'!A128,'PT Fee'!$A$18:$G$167,3,FALSE)," - ",VLOOKUP('Fee Summary'!A128,'PT Fee'!$A$18:$G$167,4,FALSE)),"")</f>
        <v/>
      </c>
      <c r="O438" s="301" t="str">
        <f>IF(AND('PT Fee'!E132="Yes"),VLOOKUP('Fee Summary'!A128,'PT Fee'!$A$18:$G$167,7,FALSE),"")</f>
        <v/>
      </c>
      <c r="AH438" s="457"/>
    </row>
    <row r="439" spans="11:34" ht="15.75" hidden="1" x14ac:dyDescent="0.25">
      <c r="K439" s="301" t="str">
        <f>IF(ISERROR(RANK(L439,$L$23:$L$473,1)+COUNTIF($L$23:L439,L439)-1)=TRUE,"",RANK(L439,$L$23:$L$473,1)+COUNTIF($L$23:L439,L439)-1)</f>
        <v/>
      </c>
      <c r="L439" s="301" t="str">
        <f t="shared" si="40"/>
        <v/>
      </c>
      <c r="M439" s="301" t="str">
        <f>IF(AND('PT Fee'!E133="Yes"),VLOOKUP('Fee Summary'!A129,'PT Fee'!$A$18:$G$167,2,FALSE),"")</f>
        <v/>
      </c>
      <c r="N439" s="301" t="str">
        <f>IF(AND('PT Fee'!E133="Yes"),CONCATENATE(VLOOKUP('Fee Summary'!A129,'PT Fee'!$A$18:$G$167,3,FALSE)," - ",VLOOKUP('Fee Summary'!A129,'PT Fee'!$A$18:$G$167,4,FALSE)),"")</f>
        <v/>
      </c>
      <c r="O439" s="301" t="str">
        <f>IF(AND('PT Fee'!E133="Yes"),VLOOKUP('Fee Summary'!A129,'PT Fee'!$A$18:$G$167,7,FALSE),"")</f>
        <v/>
      </c>
      <c r="AH439" s="457"/>
    </row>
    <row r="440" spans="11:34" ht="15.75" hidden="1" x14ac:dyDescent="0.25">
      <c r="K440" s="301" t="str">
        <f>IF(ISERROR(RANK(L440,$L$23:$L$473,1)+COUNTIF($L$23:L440,L440)-1)=TRUE,"",RANK(L440,$L$23:$L$473,1)+COUNTIF($L$23:L440,L440)-1)</f>
        <v/>
      </c>
      <c r="L440" s="301" t="str">
        <f t="shared" si="40"/>
        <v/>
      </c>
      <c r="M440" s="301" t="str">
        <f>IF(AND('PT Fee'!E134="Yes"),VLOOKUP('Fee Summary'!A130,'PT Fee'!$A$18:$G$167,2,FALSE),"")</f>
        <v/>
      </c>
      <c r="N440" s="301" t="str">
        <f>IF(AND('PT Fee'!E134="Yes"),CONCATENATE(VLOOKUP('Fee Summary'!A130,'PT Fee'!$A$18:$G$167,3,FALSE)," - ",VLOOKUP('Fee Summary'!A130,'PT Fee'!$A$18:$G$167,4,FALSE)),"")</f>
        <v/>
      </c>
      <c r="O440" s="301" t="str">
        <f>IF(AND('PT Fee'!E134="Yes"),VLOOKUP('Fee Summary'!A130,'PT Fee'!$A$18:$G$167,7,FALSE),"")</f>
        <v/>
      </c>
      <c r="AH440" s="457"/>
    </row>
    <row r="441" spans="11:34" ht="15.75" hidden="1" x14ac:dyDescent="0.25">
      <c r="K441" s="301" t="str">
        <f>IF(ISERROR(RANK(L441,$L$23:$L$473,1)+COUNTIF($L$23:L441,L441)-1)=TRUE,"",RANK(L441,$L$23:$L$473,1)+COUNTIF($L$23:L441,L441)-1)</f>
        <v/>
      </c>
      <c r="L441" s="301" t="str">
        <f t="shared" si="40"/>
        <v/>
      </c>
      <c r="M441" s="301" t="str">
        <f>IF(AND('PT Fee'!E135="Yes"),VLOOKUP('Fee Summary'!A131,'PT Fee'!$A$18:$G$167,2,FALSE),"")</f>
        <v/>
      </c>
      <c r="N441" s="301" t="str">
        <f>IF(AND('PT Fee'!E135="Yes"),CONCATENATE(VLOOKUP('Fee Summary'!A131,'PT Fee'!$A$18:$G$167,3,FALSE)," - ",VLOOKUP('Fee Summary'!A131,'PT Fee'!$A$18:$G$167,4,FALSE)),"")</f>
        <v/>
      </c>
      <c r="O441" s="301" t="str">
        <f>IF(AND('PT Fee'!E135="Yes"),VLOOKUP('Fee Summary'!A131,'PT Fee'!$A$18:$G$167,7,FALSE),"")</f>
        <v/>
      </c>
      <c r="AH441" s="457"/>
    </row>
    <row r="442" spans="11:34" ht="15.75" hidden="1" x14ac:dyDescent="0.25">
      <c r="K442" s="301" t="str">
        <f>IF(ISERROR(RANK(L442,$L$23:$L$473,1)+COUNTIF($L$23:L442,L442)-1)=TRUE,"",RANK(L442,$L$23:$L$473,1)+COUNTIF($L$23:L442,L442)-1)</f>
        <v/>
      </c>
      <c r="L442" s="301" t="str">
        <f t="shared" si="40"/>
        <v/>
      </c>
      <c r="M442" s="301" t="str">
        <f>IF(AND('PT Fee'!E136="Yes"),VLOOKUP('Fee Summary'!A132,'PT Fee'!$A$18:$G$167,2,FALSE),"")</f>
        <v/>
      </c>
      <c r="N442" s="301" t="str">
        <f>IF(AND('PT Fee'!E136="Yes"),CONCATENATE(VLOOKUP('Fee Summary'!A132,'PT Fee'!$A$18:$G$167,3,FALSE)," - ",VLOOKUP('Fee Summary'!A132,'PT Fee'!$A$18:$G$167,4,FALSE)),"")</f>
        <v/>
      </c>
      <c r="O442" s="301" t="str">
        <f>IF(AND('PT Fee'!E136="Yes"),VLOOKUP('Fee Summary'!A132,'PT Fee'!$A$18:$G$167,7,FALSE),"")</f>
        <v/>
      </c>
      <c r="AH442" s="457"/>
    </row>
    <row r="443" spans="11:34" ht="15.75" hidden="1" x14ac:dyDescent="0.25">
      <c r="K443" s="301" t="str">
        <f>IF(ISERROR(RANK(L443,$L$23:$L$473,1)+COUNTIF($L$23:L443,L443)-1)=TRUE,"",RANK(L443,$L$23:$L$473,1)+COUNTIF($L$23:L443,L443)-1)</f>
        <v/>
      </c>
      <c r="L443" s="301" t="str">
        <f t="shared" si="40"/>
        <v/>
      </c>
      <c r="M443" s="301" t="str">
        <f>IF(AND('PT Fee'!E137="Yes"),VLOOKUP('Fee Summary'!A133,'PT Fee'!$A$18:$G$167,2,FALSE),"")</f>
        <v/>
      </c>
      <c r="N443" s="301" t="str">
        <f>IF(AND('PT Fee'!E137="Yes"),CONCATENATE(VLOOKUP('Fee Summary'!A133,'PT Fee'!$A$18:$G$167,3,FALSE)," - ",VLOOKUP('Fee Summary'!A133,'PT Fee'!$A$18:$G$167,4,FALSE)),"")</f>
        <v/>
      </c>
      <c r="O443" s="301" t="str">
        <f>IF(AND('PT Fee'!E137="Yes"),VLOOKUP('Fee Summary'!A133,'PT Fee'!$A$18:$G$167,7,FALSE),"")</f>
        <v/>
      </c>
      <c r="AH443" s="457"/>
    </row>
    <row r="444" spans="11:34" ht="15.75" hidden="1" x14ac:dyDescent="0.25">
      <c r="K444" s="301" t="str">
        <f>IF(ISERROR(RANK(L444,$L$23:$L$473,1)+COUNTIF($L$23:L444,L444)-1)=TRUE,"",RANK(L444,$L$23:$L$473,1)+COUNTIF($L$23:L444,L444)-1)</f>
        <v/>
      </c>
      <c r="L444" s="301" t="str">
        <f t="shared" si="40"/>
        <v/>
      </c>
      <c r="M444" s="301" t="str">
        <f>IF(AND('PT Fee'!E138="Yes"),VLOOKUP('Fee Summary'!A134,'PT Fee'!$A$18:$G$167,2,FALSE),"")</f>
        <v/>
      </c>
      <c r="N444" s="301" t="str">
        <f>IF(AND('PT Fee'!E138="Yes"),CONCATENATE(VLOOKUP('Fee Summary'!A134,'PT Fee'!$A$18:$G$167,3,FALSE)," - ",VLOOKUP('Fee Summary'!A134,'PT Fee'!$A$18:$G$167,4,FALSE)),"")</f>
        <v/>
      </c>
      <c r="O444" s="301" t="str">
        <f>IF(AND('PT Fee'!E138="Yes"),VLOOKUP('Fee Summary'!A134,'PT Fee'!$A$18:$G$167,7,FALSE),"")</f>
        <v/>
      </c>
      <c r="AH444" s="457"/>
    </row>
    <row r="445" spans="11:34" ht="15.75" hidden="1" x14ac:dyDescent="0.25">
      <c r="K445" s="301" t="str">
        <f>IF(ISERROR(RANK(L445,$L$23:$L$473,1)+COUNTIF($L$23:L445,L445)-1)=TRUE,"",RANK(L445,$L$23:$L$473,1)+COUNTIF($L$23:L445,L445)-1)</f>
        <v/>
      </c>
      <c r="L445" s="301" t="str">
        <f t="shared" si="40"/>
        <v/>
      </c>
      <c r="M445" s="301" t="str">
        <f>IF(AND('PT Fee'!E139="Yes"),VLOOKUP('Fee Summary'!A135,'PT Fee'!$A$18:$G$167,2,FALSE),"")</f>
        <v/>
      </c>
      <c r="N445" s="301" t="str">
        <f>IF(AND('PT Fee'!E139="Yes"),CONCATENATE(VLOOKUP('Fee Summary'!A135,'PT Fee'!$A$18:$G$167,3,FALSE)," - ",VLOOKUP('Fee Summary'!A135,'PT Fee'!$A$18:$G$167,4,FALSE)),"")</f>
        <v/>
      </c>
      <c r="O445" s="301" t="str">
        <f>IF(AND('PT Fee'!E139="Yes"),VLOOKUP('Fee Summary'!A135,'PT Fee'!$A$18:$G$167,7,FALSE),"")</f>
        <v/>
      </c>
      <c r="AH445" s="457"/>
    </row>
    <row r="446" spans="11:34" ht="15.75" hidden="1" x14ac:dyDescent="0.25">
      <c r="K446" s="301" t="str">
        <f>IF(ISERROR(RANK(L446,$L$23:$L$473,1)+COUNTIF($L$23:L446,L446)-1)=TRUE,"",RANK(L446,$L$23:$L$473,1)+COUNTIF($L$23:L446,L446)-1)</f>
        <v/>
      </c>
      <c r="L446" s="301" t="str">
        <f t="shared" si="40"/>
        <v/>
      </c>
      <c r="M446" s="301" t="str">
        <f>IF(AND('PT Fee'!E140="Yes"),VLOOKUP('Fee Summary'!A136,'PT Fee'!$A$18:$G$167,2,FALSE),"")</f>
        <v/>
      </c>
      <c r="N446" s="301" t="str">
        <f>IF(AND('PT Fee'!E140="Yes"),CONCATENATE(VLOOKUP('Fee Summary'!A136,'PT Fee'!$A$18:$G$167,3,FALSE)," - ",VLOOKUP('Fee Summary'!A136,'PT Fee'!$A$18:$G$167,4,FALSE)),"")</f>
        <v/>
      </c>
      <c r="O446" s="301" t="str">
        <f>IF(AND('PT Fee'!E140="Yes"),VLOOKUP('Fee Summary'!A136,'PT Fee'!$A$18:$G$167,7,FALSE),"")</f>
        <v/>
      </c>
      <c r="AH446" s="457"/>
    </row>
    <row r="447" spans="11:34" ht="15.75" hidden="1" x14ac:dyDescent="0.25">
      <c r="K447" s="301" t="str">
        <f>IF(ISERROR(RANK(L447,$L$23:$L$473,1)+COUNTIF($L$23:L447,L447)-1)=TRUE,"",RANK(L447,$L$23:$L$473,1)+COUNTIF($L$23:L447,L447)-1)</f>
        <v/>
      </c>
      <c r="L447" s="301" t="str">
        <f t="shared" si="40"/>
        <v/>
      </c>
      <c r="M447" s="301" t="str">
        <f>IF(AND('PT Fee'!E141="Yes"),VLOOKUP('Fee Summary'!A137,'PT Fee'!$A$18:$G$167,2,FALSE),"")</f>
        <v/>
      </c>
      <c r="N447" s="301" t="str">
        <f>IF(AND('PT Fee'!E141="Yes"),CONCATENATE(VLOOKUP('Fee Summary'!A137,'PT Fee'!$A$18:$G$167,3,FALSE)," - ",VLOOKUP('Fee Summary'!A137,'PT Fee'!$A$18:$G$167,4,FALSE)),"")</f>
        <v/>
      </c>
      <c r="O447" s="301" t="str">
        <f>IF(AND('PT Fee'!E141="Yes"),VLOOKUP('Fee Summary'!A137,'PT Fee'!$A$18:$G$167,7,FALSE),"")</f>
        <v/>
      </c>
      <c r="AH447" s="457"/>
    </row>
    <row r="448" spans="11:34" ht="15.75" hidden="1" x14ac:dyDescent="0.25">
      <c r="K448" s="301" t="str">
        <f>IF(ISERROR(RANK(L448,$L$23:$L$473,1)+COUNTIF($L$23:L448,L448)-1)=TRUE,"",RANK(L448,$L$23:$L$473,1)+COUNTIF($L$23:L448,L448)-1)</f>
        <v/>
      </c>
      <c r="L448" s="301" t="str">
        <f t="shared" si="40"/>
        <v/>
      </c>
      <c r="M448" s="301" t="str">
        <f>IF(AND('PT Fee'!E142="Yes"),VLOOKUP('Fee Summary'!A138,'PT Fee'!$A$18:$G$167,2,FALSE),"")</f>
        <v/>
      </c>
      <c r="N448" s="301" t="str">
        <f>IF(AND('PT Fee'!E142="Yes"),CONCATENATE(VLOOKUP('Fee Summary'!A138,'PT Fee'!$A$18:$G$167,3,FALSE)," - ",VLOOKUP('Fee Summary'!A138,'PT Fee'!$A$18:$G$167,4,FALSE)),"")</f>
        <v/>
      </c>
      <c r="O448" s="301" t="str">
        <f>IF(AND('PT Fee'!E142="Yes"),VLOOKUP('Fee Summary'!A138,'PT Fee'!$A$18:$G$167,7,FALSE),"")</f>
        <v/>
      </c>
      <c r="AH448" s="457"/>
    </row>
    <row r="449" spans="11:34" ht="15.75" hidden="1" x14ac:dyDescent="0.25">
      <c r="K449" s="301" t="str">
        <f>IF(ISERROR(RANK(L449,$L$23:$L$473,1)+COUNTIF($L$23:L449,L449)-1)=TRUE,"",RANK(L449,$L$23:$L$473,1)+COUNTIF($L$23:L449,L449)-1)</f>
        <v/>
      </c>
      <c r="L449" s="301" t="str">
        <f t="shared" si="40"/>
        <v/>
      </c>
      <c r="M449" s="301" t="str">
        <f>IF(AND('PT Fee'!E143="Yes"),VLOOKUP('Fee Summary'!A139,'PT Fee'!$A$18:$G$167,2,FALSE),"")</f>
        <v/>
      </c>
      <c r="N449" s="301" t="str">
        <f>IF(AND('PT Fee'!E143="Yes"),CONCATENATE(VLOOKUP('Fee Summary'!A139,'PT Fee'!$A$18:$G$167,3,FALSE)," - ",VLOOKUP('Fee Summary'!A139,'PT Fee'!$A$18:$G$167,4,FALSE)),"")</f>
        <v/>
      </c>
      <c r="O449" s="301" t="str">
        <f>IF(AND('PT Fee'!E143="Yes"),VLOOKUP('Fee Summary'!A139,'PT Fee'!$A$18:$G$167,7,FALSE),"")</f>
        <v/>
      </c>
      <c r="AH449" s="457"/>
    </row>
    <row r="450" spans="11:34" ht="15.75" hidden="1" x14ac:dyDescent="0.25">
      <c r="K450" s="301" t="str">
        <f>IF(ISERROR(RANK(L450,$L$23:$L$473,1)+COUNTIF($L$23:L450,L450)-1)=TRUE,"",RANK(L450,$L$23:$L$473,1)+COUNTIF($L$23:L450,L450)-1)</f>
        <v/>
      </c>
      <c r="L450" s="301" t="str">
        <f t="shared" si="40"/>
        <v/>
      </c>
      <c r="M450" s="301" t="str">
        <f>IF(AND('PT Fee'!E144="Yes"),VLOOKUP('Fee Summary'!A140,'PT Fee'!$A$18:$G$167,2,FALSE),"")</f>
        <v/>
      </c>
      <c r="N450" s="301" t="str">
        <f>IF(AND('PT Fee'!E144="Yes"),CONCATENATE(VLOOKUP('Fee Summary'!A140,'PT Fee'!$A$18:$G$167,3,FALSE)," - ",VLOOKUP('Fee Summary'!A140,'PT Fee'!$A$18:$G$167,4,FALSE)),"")</f>
        <v/>
      </c>
      <c r="O450" s="301" t="str">
        <f>IF(AND('PT Fee'!E144="Yes"),VLOOKUP('Fee Summary'!A140,'PT Fee'!$A$18:$G$167,7,FALSE),"")</f>
        <v/>
      </c>
      <c r="AH450" s="457"/>
    </row>
    <row r="451" spans="11:34" ht="15.75" hidden="1" x14ac:dyDescent="0.25">
      <c r="K451" s="301" t="str">
        <f>IF(ISERROR(RANK(L451,$L$23:$L$473,1)+COUNTIF($L$23:L451,L451)-1)=TRUE,"",RANK(L451,$L$23:$L$473,1)+COUNTIF($L$23:L451,L451)-1)</f>
        <v/>
      </c>
      <c r="L451" s="301" t="str">
        <f t="shared" si="40"/>
        <v/>
      </c>
      <c r="M451" s="301" t="str">
        <f>IF(AND('PT Fee'!E145="Yes"),VLOOKUP('Fee Summary'!A141,'PT Fee'!$A$18:$G$167,2,FALSE),"")</f>
        <v/>
      </c>
      <c r="N451" s="301" t="str">
        <f>IF(AND('PT Fee'!E145="Yes"),CONCATENATE(VLOOKUP('Fee Summary'!A141,'PT Fee'!$A$18:$G$167,3,FALSE)," - ",VLOOKUP('Fee Summary'!A141,'PT Fee'!$A$18:$G$167,4,FALSE)),"")</f>
        <v/>
      </c>
      <c r="O451" s="301" t="str">
        <f>IF(AND('PT Fee'!E145="Yes"),VLOOKUP('Fee Summary'!A141,'PT Fee'!$A$18:$G$167,7,FALSE),"")</f>
        <v/>
      </c>
      <c r="AH451" s="457"/>
    </row>
    <row r="452" spans="11:34" ht="15.75" hidden="1" x14ac:dyDescent="0.25">
      <c r="K452" s="301" t="str">
        <f>IF(ISERROR(RANK(L452,$L$23:$L$473,1)+COUNTIF($L$23:L452,L452)-1)=TRUE,"",RANK(L452,$L$23:$L$473,1)+COUNTIF($L$23:L452,L452)-1)</f>
        <v/>
      </c>
      <c r="L452" s="301" t="str">
        <f t="shared" ref="L452:L483" si="41">IF(ISERROR(VLOOKUP(M452,$S$10:$S$20,1,FALSE))=TRUE,"",VLOOKUP(M452,$S$10:$U$20,2,FALSE))</f>
        <v/>
      </c>
      <c r="M452" s="301" t="str">
        <f>IF(AND('PT Fee'!E146="Yes"),VLOOKUP('Fee Summary'!A142,'PT Fee'!$A$18:$G$167,2,FALSE),"")</f>
        <v/>
      </c>
      <c r="N452" s="301" t="str">
        <f>IF(AND('PT Fee'!E146="Yes"),CONCATENATE(VLOOKUP('Fee Summary'!A142,'PT Fee'!$A$18:$G$167,3,FALSE)," - ",VLOOKUP('Fee Summary'!A142,'PT Fee'!$A$18:$G$167,4,FALSE)),"")</f>
        <v/>
      </c>
      <c r="O452" s="301" t="str">
        <f>IF(AND('PT Fee'!E146="Yes"),VLOOKUP('Fee Summary'!A142,'PT Fee'!$A$18:$G$167,7,FALSE),"")</f>
        <v/>
      </c>
      <c r="AH452" s="457"/>
    </row>
    <row r="453" spans="11:34" ht="15.75" hidden="1" x14ac:dyDescent="0.25">
      <c r="K453" s="301" t="str">
        <f>IF(ISERROR(RANK(L453,$L$23:$L$473,1)+COUNTIF($L$23:L453,L453)-1)=TRUE,"",RANK(L453,$L$23:$L$473,1)+COUNTIF($L$23:L453,L453)-1)</f>
        <v/>
      </c>
      <c r="L453" s="301" t="str">
        <f t="shared" si="41"/>
        <v/>
      </c>
      <c r="M453" s="301" t="str">
        <f>IF(AND('PT Fee'!E147="Yes"),VLOOKUP('Fee Summary'!A143,'PT Fee'!$A$18:$G$167,2,FALSE),"")</f>
        <v/>
      </c>
      <c r="N453" s="301" t="str">
        <f>IF(AND('PT Fee'!E147="Yes"),CONCATENATE(VLOOKUP('Fee Summary'!A143,'PT Fee'!$A$18:$G$167,3,FALSE)," - ",VLOOKUP('Fee Summary'!A143,'PT Fee'!$A$18:$G$167,4,FALSE)),"")</f>
        <v/>
      </c>
      <c r="O453" s="301" t="str">
        <f>IF(AND('PT Fee'!E147="Yes"),VLOOKUP('Fee Summary'!A143,'PT Fee'!$A$18:$G$167,7,FALSE),"")</f>
        <v/>
      </c>
      <c r="AH453" s="457"/>
    </row>
    <row r="454" spans="11:34" ht="15.75" hidden="1" x14ac:dyDescent="0.25">
      <c r="K454" s="301" t="str">
        <f>IF(ISERROR(RANK(L454,$L$23:$L$473,1)+COUNTIF($L$23:L454,L454)-1)=TRUE,"",RANK(L454,$L$23:$L$473,1)+COUNTIF($L$23:L454,L454)-1)</f>
        <v/>
      </c>
      <c r="L454" s="301" t="str">
        <f t="shared" si="41"/>
        <v/>
      </c>
      <c r="M454" s="301" t="str">
        <f>IF(AND('PT Fee'!E148="Yes"),VLOOKUP('Fee Summary'!A144,'PT Fee'!$A$18:$G$167,2,FALSE),"")</f>
        <v/>
      </c>
      <c r="N454" s="301" t="str">
        <f>IF(AND('PT Fee'!E148="Yes"),CONCATENATE(VLOOKUP('Fee Summary'!A144,'PT Fee'!$A$18:$G$167,3,FALSE)," - ",VLOOKUP('Fee Summary'!A144,'PT Fee'!$A$18:$G$167,4,FALSE)),"")</f>
        <v/>
      </c>
      <c r="O454" s="301" t="str">
        <f>IF(AND('PT Fee'!E148="Yes"),VLOOKUP('Fee Summary'!A144,'PT Fee'!$A$18:$G$167,7,FALSE),"")</f>
        <v/>
      </c>
      <c r="AH454" s="457"/>
    </row>
    <row r="455" spans="11:34" ht="15.75" hidden="1" x14ac:dyDescent="0.25">
      <c r="K455" s="301" t="str">
        <f>IF(ISERROR(RANK(L455,$L$23:$L$473,1)+COUNTIF($L$23:L455,L455)-1)=TRUE,"",RANK(L455,$L$23:$L$473,1)+COUNTIF($L$23:L455,L455)-1)</f>
        <v/>
      </c>
      <c r="L455" s="301" t="str">
        <f t="shared" si="41"/>
        <v/>
      </c>
      <c r="M455" s="301" t="str">
        <f>IF(AND('PT Fee'!E149="Yes"),VLOOKUP('Fee Summary'!A145,'PT Fee'!$A$18:$G$167,2,FALSE),"")</f>
        <v/>
      </c>
      <c r="N455" s="301" t="str">
        <f>IF(AND('PT Fee'!E149="Yes"),CONCATENATE(VLOOKUP('Fee Summary'!A145,'PT Fee'!$A$18:$G$167,3,FALSE)," - ",VLOOKUP('Fee Summary'!A145,'PT Fee'!$A$18:$G$167,4,FALSE)),"")</f>
        <v/>
      </c>
      <c r="O455" s="301" t="str">
        <f>IF(AND('PT Fee'!E149="Yes"),VLOOKUP('Fee Summary'!A145,'PT Fee'!$A$18:$G$167,7,FALSE),"")</f>
        <v/>
      </c>
      <c r="AH455" s="457"/>
    </row>
    <row r="456" spans="11:34" ht="15.75" hidden="1" x14ac:dyDescent="0.25">
      <c r="K456" s="301" t="str">
        <f>IF(ISERROR(RANK(L456,$L$23:$L$473,1)+COUNTIF($L$23:L456,L456)-1)=TRUE,"",RANK(L456,$L$23:$L$473,1)+COUNTIF($L$23:L456,L456)-1)</f>
        <v/>
      </c>
      <c r="L456" s="301" t="str">
        <f t="shared" si="41"/>
        <v/>
      </c>
      <c r="M456" s="301" t="str">
        <f>IF(AND('PT Fee'!E150="Yes"),VLOOKUP('Fee Summary'!A146,'PT Fee'!$A$18:$G$167,2,FALSE),"")</f>
        <v/>
      </c>
      <c r="N456" s="301" t="str">
        <f>IF(AND('PT Fee'!E150="Yes"),CONCATENATE(VLOOKUP('Fee Summary'!A146,'PT Fee'!$A$18:$G$167,3,FALSE)," - ",VLOOKUP('Fee Summary'!A146,'PT Fee'!$A$18:$G$167,4,FALSE)),"")</f>
        <v/>
      </c>
      <c r="O456" s="301" t="str">
        <f>IF(AND('PT Fee'!E150="Yes"),VLOOKUP('Fee Summary'!A146,'PT Fee'!$A$18:$G$167,7,FALSE),"")</f>
        <v/>
      </c>
      <c r="AH456" s="457"/>
    </row>
    <row r="457" spans="11:34" ht="15.75" hidden="1" x14ac:dyDescent="0.25">
      <c r="K457" s="301" t="str">
        <f>IF(ISERROR(RANK(L457,$L$23:$L$473,1)+COUNTIF($L$23:L457,L457)-1)=TRUE,"",RANK(L457,$L$23:$L$473,1)+COUNTIF($L$23:L457,L457)-1)</f>
        <v/>
      </c>
      <c r="L457" s="301" t="str">
        <f t="shared" si="41"/>
        <v/>
      </c>
      <c r="M457" s="301" t="str">
        <f>IF(AND('PT Fee'!E151="Yes"),VLOOKUP('Fee Summary'!A147,'PT Fee'!$A$18:$G$167,2,FALSE),"")</f>
        <v/>
      </c>
      <c r="N457" s="301" t="str">
        <f>IF(AND('PT Fee'!E151="Yes"),CONCATENATE(VLOOKUP('Fee Summary'!A147,'PT Fee'!$A$18:$G$167,3,FALSE)," - ",VLOOKUP('Fee Summary'!A147,'PT Fee'!$A$18:$G$167,4,FALSE)),"")</f>
        <v/>
      </c>
      <c r="O457" s="301" t="str">
        <f>IF(AND('PT Fee'!E151="Yes"),VLOOKUP('Fee Summary'!A147,'PT Fee'!$A$18:$G$167,7,FALSE),"")</f>
        <v/>
      </c>
      <c r="AH457" s="457"/>
    </row>
    <row r="458" spans="11:34" ht="15.75" hidden="1" x14ac:dyDescent="0.25">
      <c r="K458" s="301" t="str">
        <f>IF(ISERROR(RANK(L458,$L$23:$L$473,1)+COUNTIF($L$23:L458,L458)-1)=TRUE,"",RANK(L458,$L$23:$L$473,1)+COUNTIF($L$23:L458,L458)-1)</f>
        <v/>
      </c>
      <c r="L458" s="301" t="str">
        <f t="shared" si="41"/>
        <v/>
      </c>
      <c r="M458" s="301" t="str">
        <f>IF(AND('PT Fee'!E152="Yes"),VLOOKUP('Fee Summary'!A148,'PT Fee'!$A$18:$G$167,2,FALSE),"")</f>
        <v/>
      </c>
      <c r="N458" s="301" t="str">
        <f>IF(AND('PT Fee'!E152="Yes"),CONCATENATE(VLOOKUP('Fee Summary'!A148,'PT Fee'!$A$18:$G$167,3,FALSE)," - ",VLOOKUP('Fee Summary'!A148,'PT Fee'!$A$18:$G$167,4,FALSE)),"")</f>
        <v/>
      </c>
      <c r="O458" s="301" t="str">
        <f>IF(AND('PT Fee'!E152="Yes"),VLOOKUP('Fee Summary'!A148,'PT Fee'!$A$18:$G$167,7,FALSE),"")</f>
        <v/>
      </c>
      <c r="AH458" s="457"/>
    </row>
    <row r="459" spans="11:34" ht="15.75" hidden="1" x14ac:dyDescent="0.25">
      <c r="K459" s="301" t="str">
        <f>IF(ISERROR(RANK(L459,$L$23:$L$473,1)+COUNTIF($L$23:L459,L459)-1)=TRUE,"",RANK(L459,$L$23:$L$473,1)+COUNTIF($L$23:L459,L459)-1)</f>
        <v/>
      </c>
      <c r="L459" s="301" t="str">
        <f t="shared" si="41"/>
        <v/>
      </c>
      <c r="M459" s="301" t="str">
        <f>IF(AND('PT Fee'!E153="Yes"),VLOOKUP('Fee Summary'!A149,'PT Fee'!$A$18:$G$167,2,FALSE),"")</f>
        <v/>
      </c>
      <c r="N459" s="301" t="str">
        <f>IF(AND('PT Fee'!E153="Yes"),CONCATENATE(VLOOKUP('Fee Summary'!A149,'PT Fee'!$A$18:$G$167,3,FALSE)," - ",VLOOKUP('Fee Summary'!A149,'PT Fee'!$A$18:$G$167,4,FALSE)),"")</f>
        <v/>
      </c>
      <c r="O459" s="301" t="str">
        <f>IF(AND('PT Fee'!E153="Yes"),VLOOKUP('Fee Summary'!A149,'PT Fee'!$A$18:$G$167,7,FALSE),"")</f>
        <v/>
      </c>
      <c r="AH459" s="457"/>
    </row>
    <row r="460" spans="11:34" ht="15.75" hidden="1" x14ac:dyDescent="0.25">
      <c r="K460" s="301" t="str">
        <f>IF(ISERROR(RANK(L460,$L$23:$L$473,1)+COUNTIF($L$23:L460,L460)-1)=TRUE,"",RANK(L460,$L$23:$L$473,1)+COUNTIF($L$23:L460,L460)-1)</f>
        <v/>
      </c>
      <c r="L460" s="301" t="str">
        <f t="shared" si="41"/>
        <v/>
      </c>
      <c r="M460" s="301" t="str">
        <f>IF(AND('PT Fee'!E154="Yes"),VLOOKUP('Fee Summary'!A150,'PT Fee'!$A$18:$G$167,2,FALSE),"")</f>
        <v/>
      </c>
      <c r="N460" s="301" t="str">
        <f>IF(AND('PT Fee'!E154="Yes"),CONCATENATE(VLOOKUP('Fee Summary'!A150,'PT Fee'!$A$18:$G$167,3,FALSE)," - ",VLOOKUP('Fee Summary'!A150,'PT Fee'!$A$18:$G$167,4,FALSE)),"")</f>
        <v/>
      </c>
      <c r="O460" s="301" t="str">
        <f>IF(AND('PT Fee'!E154="Yes"),VLOOKUP('Fee Summary'!A150,'PT Fee'!$A$18:$G$167,7,FALSE),"")</f>
        <v/>
      </c>
      <c r="AH460" s="457"/>
    </row>
    <row r="461" spans="11:34" ht="15.75" hidden="1" x14ac:dyDescent="0.25">
      <c r="K461" s="301" t="str">
        <f>IF(ISERROR(RANK(L461,$L$23:$L$473,1)+COUNTIF($L$23:L461,L461)-1)=TRUE,"",RANK(L461,$L$23:$L$473,1)+COUNTIF($L$23:L461,L461)-1)</f>
        <v/>
      </c>
      <c r="L461" s="301" t="str">
        <f t="shared" si="41"/>
        <v/>
      </c>
      <c r="M461" s="301" t="str">
        <f>IF(AND('PT Fee'!E155="Yes"),VLOOKUP('Fee Summary'!A151,'PT Fee'!$A$18:$G$167,2,FALSE),"")</f>
        <v/>
      </c>
      <c r="N461" s="301" t="str">
        <f>IF(AND('PT Fee'!E155="Yes"),CONCATENATE(VLOOKUP('Fee Summary'!A151,'PT Fee'!$A$18:$G$167,3,FALSE)," - ",VLOOKUP('Fee Summary'!A151,'PT Fee'!$A$18:$G$167,4,FALSE)),"")</f>
        <v/>
      </c>
      <c r="O461" s="301" t="str">
        <f>IF(AND('PT Fee'!E155="Yes"),VLOOKUP('Fee Summary'!A151,'PT Fee'!$A$18:$G$167,7,FALSE),"")</f>
        <v/>
      </c>
      <c r="AH461" s="457"/>
    </row>
    <row r="462" spans="11:34" ht="15.75" hidden="1" x14ac:dyDescent="0.25">
      <c r="K462" s="301" t="str">
        <f>IF(ISERROR(RANK(L462,$L$23:$L$473,1)+COUNTIF($L$23:L462,L462)-1)=TRUE,"",RANK(L462,$L$23:$L$473,1)+COUNTIF($L$23:L462,L462)-1)</f>
        <v/>
      </c>
      <c r="L462" s="301" t="str">
        <f t="shared" si="41"/>
        <v/>
      </c>
      <c r="M462" s="301" t="str">
        <f>IF(AND('PT Fee'!E156="Yes"),VLOOKUP('Fee Summary'!A152,'PT Fee'!$A$18:$G$167,2,FALSE),"")</f>
        <v/>
      </c>
      <c r="N462" s="301" t="str">
        <f>IF(AND('PT Fee'!E156="Yes"),CONCATENATE(VLOOKUP('Fee Summary'!A152,'PT Fee'!$A$18:$G$167,3,FALSE)," - ",VLOOKUP('Fee Summary'!A152,'PT Fee'!$A$18:$G$167,4,FALSE)),"")</f>
        <v/>
      </c>
      <c r="O462" s="301" t="str">
        <f>IF(AND('PT Fee'!E156="Yes"),VLOOKUP('Fee Summary'!A152,'PT Fee'!$A$18:$G$167,7,FALSE),"")</f>
        <v/>
      </c>
      <c r="AH462" s="457"/>
    </row>
    <row r="463" spans="11:34" ht="15.75" hidden="1" x14ac:dyDescent="0.25">
      <c r="K463" s="301" t="str">
        <f>IF(ISERROR(RANK(L463,$L$23:$L$473,1)+COUNTIF($L$23:L463,L463)-1)=TRUE,"",RANK(L463,$L$23:$L$473,1)+COUNTIF($L$23:L463,L463)-1)</f>
        <v/>
      </c>
      <c r="L463" s="301" t="str">
        <f t="shared" si="41"/>
        <v/>
      </c>
      <c r="M463" s="301" t="str">
        <f>IF(AND('PT Fee'!E157="Yes"),VLOOKUP('Fee Summary'!A153,'PT Fee'!$A$18:$G$167,2,FALSE),"")</f>
        <v/>
      </c>
      <c r="N463" s="301" t="str">
        <f>IF(AND('PT Fee'!E157="Yes"),CONCATENATE(VLOOKUP('Fee Summary'!A153,'PT Fee'!$A$18:$G$167,3,FALSE)," - ",VLOOKUP('Fee Summary'!A153,'PT Fee'!$A$18:$G$167,4,FALSE)),"")</f>
        <v/>
      </c>
      <c r="O463" s="301" t="str">
        <f>IF(AND('PT Fee'!E157="Yes"),VLOOKUP('Fee Summary'!A153,'PT Fee'!$A$18:$G$167,7,FALSE),"")</f>
        <v/>
      </c>
      <c r="AH463" s="457"/>
    </row>
    <row r="464" spans="11:34" ht="15.75" hidden="1" x14ac:dyDescent="0.25">
      <c r="K464" s="301" t="str">
        <f>IF(ISERROR(RANK(L464,$L$23:$L$473,1)+COUNTIF($L$23:L464,L464)-1)=TRUE,"",RANK(L464,$L$23:$L$473,1)+COUNTIF($L$23:L464,L464)-1)</f>
        <v/>
      </c>
      <c r="L464" s="301" t="str">
        <f t="shared" si="41"/>
        <v/>
      </c>
      <c r="M464" s="301" t="str">
        <f>IF(AND('PT Fee'!E158="Yes"),VLOOKUP('Fee Summary'!A154,'PT Fee'!$A$18:$G$167,2,FALSE),"")</f>
        <v/>
      </c>
      <c r="N464" s="301" t="str">
        <f>IF(AND('PT Fee'!E158="Yes"),CONCATENATE(VLOOKUP('Fee Summary'!A154,'PT Fee'!$A$18:$G$167,3,FALSE)," - ",VLOOKUP('Fee Summary'!A154,'PT Fee'!$A$18:$G$167,4,FALSE)),"")</f>
        <v/>
      </c>
      <c r="O464" s="301" t="str">
        <f>IF(AND('PT Fee'!E158="Yes"),VLOOKUP('Fee Summary'!A154,'PT Fee'!$A$18:$G$167,7,FALSE),"")</f>
        <v/>
      </c>
      <c r="AH464" s="457"/>
    </row>
    <row r="465" spans="11:34" ht="15.75" hidden="1" x14ac:dyDescent="0.25">
      <c r="K465" s="301" t="str">
        <f>IF(ISERROR(RANK(L465,$L$23:$L$473,1)+COUNTIF($L$23:L465,L465)-1)=TRUE,"",RANK(L465,$L$23:$L$473,1)+COUNTIF($L$23:L465,L465)-1)</f>
        <v/>
      </c>
      <c r="L465" s="301" t="str">
        <f t="shared" si="41"/>
        <v/>
      </c>
      <c r="M465" s="301" t="str">
        <f>IF(AND('PT Fee'!E159="Yes"),VLOOKUP('Fee Summary'!A155,'PT Fee'!$A$18:$G$167,2,FALSE),"")</f>
        <v/>
      </c>
      <c r="N465" s="301" t="str">
        <f>IF(AND('PT Fee'!E159="Yes"),CONCATENATE(VLOOKUP('Fee Summary'!A155,'PT Fee'!$A$18:$G$167,3,FALSE)," - ",VLOOKUP('Fee Summary'!A155,'PT Fee'!$A$18:$G$167,4,FALSE)),"")</f>
        <v/>
      </c>
      <c r="O465" s="301" t="str">
        <f>IF(AND('PT Fee'!E159="Yes"),VLOOKUP('Fee Summary'!A155,'PT Fee'!$A$18:$G$167,7,FALSE),"")</f>
        <v/>
      </c>
      <c r="AH465" s="457"/>
    </row>
    <row r="466" spans="11:34" ht="15.75" hidden="1" x14ac:dyDescent="0.25">
      <c r="K466" s="301" t="str">
        <f>IF(ISERROR(RANK(L466,$L$23:$L$473,1)+COUNTIF($L$23:L466,L466)-1)=TRUE,"",RANK(L466,$L$23:$L$473,1)+COUNTIF($L$23:L466,L466)-1)</f>
        <v/>
      </c>
      <c r="L466" s="301" t="str">
        <f t="shared" si="41"/>
        <v/>
      </c>
      <c r="M466" s="301" t="str">
        <f>IF(AND('PT Fee'!E160="Yes"),VLOOKUP('Fee Summary'!A156,'PT Fee'!$A$18:$G$167,2,FALSE),"")</f>
        <v/>
      </c>
      <c r="N466" s="301" t="str">
        <f>IF(AND('PT Fee'!E160="Yes"),CONCATENATE(VLOOKUP('Fee Summary'!A156,'PT Fee'!$A$18:$G$167,3,FALSE)," - ",VLOOKUP('Fee Summary'!A156,'PT Fee'!$A$18:$G$167,4,FALSE)),"")</f>
        <v/>
      </c>
      <c r="O466" s="301" t="str">
        <f>IF(AND('PT Fee'!E160="Yes"),VLOOKUP('Fee Summary'!A156,'PT Fee'!$A$18:$G$167,7,FALSE),"")</f>
        <v/>
      </c>
      <c r="AH466" s="457"/>
    </row>
    <row r="467" spans="11:34" ht="15.75" hidden="1" x14ac:dyDescent="0.25">
      <c r="K467" s="301" t="str">
        <f>IF(ISERROR(RANK(L467,$L$23:$L$473,1)+COUNTIF($L$23:L467,L467)-1)=TRUE,"",RANK(L467,$L$23:$L$473,1)+COUNTIF($L$23:L467,L467)-1)</f>
        <v/>
      </c>
      <c r="L467" s="301" t="str">
        <f t="shared" si="41"/>
        <v/>
      </c>
      <c r="M467" s="301" t="str">
        <f>IF(AND('PT Fee'!E161="Yes"),VLOOKUP('Fee Summary'!A157,'PT Fee'!$A$18:$G$167,2,FALSE),"")</f>
        <v/>
      </c>
      <c r="N467" s="301" t="str">
        <f>IF(AND('PT Fee'!E161="Yes"),CONCATENATE(VLOOKUP('Fee Summary'!A157,'PT Fee'!$A$18:$G$167,3,FALSE)," - ",VLOOKUP('Fee Summary'!A157,'PT Fee'!$A$18:$G$167,4,FALSE)),"")</f>
        <v/>
      </c>
      <c r="O467" s="301" t="str">
        <f>IF(AND('PT Fee'!E161="Yes"),VLOOKUP('Fee Summary'!A157,'PT Fee'!$A$18:$G$167,7,FALSE),"")</f>
        <v/>
      </c>
      <c r="AH467" s="457"/>
    </row>
    <row r="468" spans="11:34" ht="15.75" hidden="1" x14ac:dyDescent="0.25">
      <c r="K468" s="301" t="str">
        <f>IF(ISERROR(RANK(L468,$L$23:$L$473,1)+COUNTIF($L$23:L468,L468)-1)=TRUE,"",RANK(L468,$L$23:$L$473,1)+COUNTIF($L$23:L468,L468)-1)</f>
        <v/>
      </c>
      <c r="L468" s="301" t="str">
        <f t="shared" si="41"/>
        <v/>
      </c>
      <c r="M468" s="301" t="str">
        <f>IF(AND('PT Fee'!E162="Yes"),VLOOKUP('Fee Summary'!A158,'PT Fee'!$A$18:$G$167,2,FALSE),"")</f>
        <v/>
      </c>
      <c r="N468" s="301" t="str">
        <f>IF(AND('PT Fee'!E162="Yes"),CONCATENATE(VLOOKUP('Fee Summary'!A158,'PT Fee'!$A$18:$G$167,3,FALSE)," - ",VLOOKUP('Fee Summary'!A158,'PT Fee'!$A$18:$G$167,4,FALSE)),"")</f>
        <v/>
      </c>
      <c r="O468" s="301" t="str">
        <f>IF(AND('PT Fee'!E162="Yes"),VLOOKUP('Fee Summary'!A158,'PT Fee'!$A$18:$G$167,7,FALSE),"")</f>
        <v/>
      </c>
      <c r="AH468" s="457"/>
    </row>
    <row r="469" spans="11:34" ht="15.75" hidden="1" x14ac:dyDescent="0.25">
      <c r="K469" s="301" t="str">
        <f>IF(ISERROR(RANK(L469,$L$23:$L$473,1)+COUNTIF($L$23:L469,L469)-1)=TRUE,"",RANK(L469,$L$23:$L$473,1)+COUNTIF($L$23:L469,L469)-1)</f>
        <v/>
      </c>
      <c r="L469" s="301" t="str">
        <f t="shared" si="41"/>
        <v/>
      </c>
      <c r="M469" s="301" t="str">
        <f>IF(AND('PT Fee'!E163="Yes"),VLOOKUP('Fee Summary'!A159,'PT Fee'!$A$18:$G$167,2,FALSE),"")</f>
        <v/>
      </c>
      <c r="N469" s="301" t="str">
        <f>IF(AND('PT Fee'!E163="Yes"),CONCATENATE(VLOOKUP('Fee Summary'!A159,'PT Fee'!$A$18:$G$167,3,FALSE)," - ",VLOOKUP('Fee Summary'!A159,'PT Fee'!$A$18:$G$167,4,FALSE)),"")</f>
        <v/>
      </c>
      <c r="O469" s="301" t="str">
        <f>IF(AND('PT Fee'!E163="Yes"),VLOOKUP('Fee Summary'!A159,'PT Fee'!$A$18:$G$167,7,FALSE),"")</f>
        <v/>
      </c>
      <c r="AH469" s="457"/>
    </row>
    <row r="470" spans="11:34" ht="15.75" hidden="1" x14ac:dyDescent="0.25">
      <c r="K470" s="301" t="str">
        <f>IF(ISERROR(RANK(L470,$L$23:$L$473,1)+COUNTIF($L$23:L470,L470)-1)=TRUE,"",RANK(L470,$L$23:$L$473,1)+COUNTIF($L$23:L470,L470)-1)</f>
        <v/>
      </c>
      <c r="L470" s="301" t="str">
        <f t="shared" si="41"/>
        <v/>
      </c>
      <c r="M470" s="301" t="str">
        <f>IF(AND('PT Fee'!E164="Yes"),VLOOKUP('Fee Summary'!A160,'PT Fee'!$A$18:$G$167,2,FALSE),"")</f>
        <v/>
      </c>
      <c r="N470" s="301" t="str">
        <f>IF(AND('PT Fee'!E164="Yes"),CONCATENATE(VLOOKUP('Fee Summary'!A160,'PT Fee'!$A$18:$G$167,3,FALSE)," - ",VLOOKUP('Fee Summary'!A160,'PT Fee'!$A$18:$G$167,4,FALSE)),"")</f>
        <v/>
      </c>
      <c r="O470" s="301" t="str">
        <f>IF(AND('PT Fee'!E164="Yes"),VLOOKUP('Fee Summary'!A160,'PT Fee'!$A$18:$G$167,7,FALSE),"")</f>
        <v/>
      </c>
      <c r="AH470" s="457"/>
    </row>
    <row r="471" spans="11:34" ht="15.75" hidden="1" x14ac:dyDescent="0.25">
      <c r="K471" s="301" t="str">
        <f>IF(ISERROR(RANK(L471,$L$23:$L$473,1)+COUNTIF($L$23:L471,L471)-1)=TRUE,"",RANK(L471,$L$23:$L$473,1)+COUNTIF($L$23:L471,L471)-1)</f>
        <v/>
      </c>
      <c r="L471" s="301" t="str">
        <f t="shared" si="41"/>
        <v/>
      </c>
      <c r="M471" s="301" t="str">
        <f>IF(AND('PT Fee'!E165="Yes"),VLOOKUP('Fee Summary'!A161,'PT Fee'!$A$18:$G$167,2,FALSE),"")</f>
        <v/>
      </c>
      <c r="N471" s="301" t="str">
        <f>IF(AND('PT Fee'!E165="Yes"),CONCATENATE(VLOOKUP('Fee Summary'!A161,'PT Fee'!$A$18:$G$167,3,FALSE)," - ",VLOOKUP('Fee Summary'!A161,'PT Fee'!$A$18:$G$167,4,FALSE)),"")</f>
        <v/>
      </c>
      <c r="O471" s="301" t="str">
        <f>IF(AND('PT Fee'!E165="Yes"),VLOOKUP('Fee Summary'!A161,'PT Fee'!$A$18:$G$167,7,FALSE),"")</f>
        <v/>
      </c>
      <c r="AH471" s="457"/>
    </row>
    <row r="472" spans="11:34" ht="15.75" hidden="1" x14ac:dyDescent="0.25">
      <c r="K472" s="301" t="str">
        <f>IF(ISERROR(RANK(L472,$L$23:$L$473,1)+COUNTIF($L$23:L472,L472)-1)=TRUE,"",RANK(L472,$L$23:$L$473,1)+COUNTIF($L$23:L472,L472)-1)</f>
        <v/>
      </c>
      <c r="L472" s="301" t="str">
        <f t="shared" si="41"/>
        <v/>
      </c>
      <c r="M472" s="301" t="str">
        <f>IF(AND('PT Fee'!E166="Yes"),VLOOKUP('Fee Summary'!A162,'PT Fee'!$A$18:$G$167,2,FALSE),"")</f>
        <v/>
      </c>
      <c r="N472" s="301" t="str">
        <f>IF(AND('PT Fee'!E166="Yes"),CONCATENATE(VLOOKUP('Fee Summary'!A162,'PT Fee'!$A$18:$G$167,3,FALSE)," - ",VLOOKUP('Fee Summary'!A162,'PT Fee'!$A$18:$G$167,4,FALSE)),"")</f>
        <v/>
      </c>
      <c r="O472" s="301" t="str">
        <f>IF(AND('PT Fee'!E166="Yes"),VLOOKUP('Fee Summary'!A162,'PT Fee'!$A$18:$G$167,7,FALSE),"")</f>
        <v/>
      </c>
      <c r="AH472" s="457"/>
    </row>
    <row r="473" spans="11:34" ht="15.75" hidden="1" x14ac:dyDescent="0.25">
      <c r="K473" s="301" t="str">
        <f>IF(ISERROR(RANK(L473,$L$23:$L$473,1)+COUNTIF($L$23:L473,L473)-1)=TRUE,"",RANK(L473,$L$23:$L$473,1)+COUNTIF($L$23:L473,L473)-1)</f>
        <v/>
      </c>
      <c r="L473" s="301" t="str">
        <f t="shared" si="41"/>
        <v/>
      </c>
      <c r="M473" s="301" t="str">
        <f>IF(AND('PT Fee'!E167="Yes"),VLOOKUP('Fee Summary'!A163,'PT Fee'!$A$18:$G$167,2,FALSE),"")</f>
        <v/>
      </c>
      <c r="N473" s="301" t="str">
        <f>IF(AND('PT Fee'!E167="Yes"),CONCATENATE(VLOOKUP('Fee Summary'!A163,'PT Fee'!$A$18:$G$167,3,FALSE)," - ",VLOOKUP('Fee Summary'!A163,'PT Fee'!$A$18:$G$167,4,FALSE)),"")</f>
        <v/>
      </c>
      <c r="O473" s="301" t="str">
        <f>IF(AND('PT Fee'!E167="Yes"),VLOOKUP('Fee Summary'!A163,'PT Fee'!$A$18:$G$167,7,FALSE),"")</f>
        <v/>
      </c>
      <c r="AH473" s="457"/>
    </row>
    <row r="474" spans="11:34" ht="15.75" hidden="1" x14ac:dyDescent="0.25">
      <c r="K474" s="301" t="str">
        <f>IF(ISERROR(RANK(L474,$L$23:$L$473,1)+COUNTIF($L$23:L474,L474)-1)=TRUE,"",RANK(L474,$L$23:$L$473,1)+COUNTIF($L$23:L474,L474)-1)</f>
        <v/>
      </c>
      <c r="L474" s="301" t="str">
        <f t="shared" si="41"/>
        <v/>
      </c>
      <c r="M474" s="301" t="str">
        <f>IF(AND('PT Fee'!E168="Yes"),VLOOKUP('Fee Summary'!A164,'PT Fee'!$A$18:$G$167,2,FALSE),"")</f>
        <v/>
      </c>
      <c r="N474" s="301" t="str">
        <f>IF(AND('PT Fee'!E168="Yes"),CONCATENATE(VLOOKUP('Fee Summary'!A164,'PT Fee'!$A$18:$G$167,3,FALSE)," - ",VLOOKUP('Fee Summary'!A164,'PT Fee'!$A$18:$G$167,4,FALSE)),"")</f>
        <v/>
      </c>
      <c r="O474" s="301" t="str">
        <f>IF(AND('PT Fee'!E168="Yes"),VLOOKUP('Fee Summary'!A164,'PT Fee'!$A$18:$G$167,7,FALSE),"")</f>
        <v/>
      </c>
      <c r="AH474" s="457"/>
    </row>
    <row r="475" spans="11:34" ht="15.75" hidden="1" x14ac:dyDescent="0.25">
      <c r="K475" s="301" t="str">
        <f>IF(ISERROR(RANK(L475,$L$23:$L$473,1)+COUNTIF($L$23:L475,L475)-1)=TRUE,"",RANK(L475,$L$23:$L$473,1)+COUNTIF($L$23:L475,L475)-1)</f>
        <v/>
      </c>
      <c r="L475" s="301" t="str">
        <f t="shared" si="41"/>
        <v/>
      </c>
      <c r="M475" s="301">
        <f>K33+1</f>
        <v>2</v>
      </c>
      <c r="N475" s="301" t="str">
        <f>IF(AND('PT Fee'!E169="Yes"),CONCATENATE(VLOOKUP('Fee Summary'!A165,'PT Fee'!$A$18:$G$167,3,FALSE)," - ",VLOOKUP('Fee Summary'!A165,'PT Fee'!$A$18:$G$167,4,FALSE)),"")</f>
        <v/>
      </c>
      <c r="O475" s="301" t="str">
        <f>IF(AND('PT Fee'!G169&lt;&gt;0,'PT Fee'!G169&lt;&gt;""),VLOOKUP('Fee Summary'!A165,'PT Fee'!$A$18:$G$167,6,FALSE),"")</f>
        <v/>
      </c>
      <c r="AH475" s="457"/>
    </row>
    <row r="476" spans="11:34" ht="15.75" hidden="1" x14ac:dyDescent="0.25">
      <c r="K476" s="301" t="str">
        <f>IF(ISERROR(RANK(L476,$L$23:$L$473,1)+COUNTIF($L$23:L476,L476)-1)=TRUE,"",RANK(L476,$L$23:$L$473,1)+COUNTIF($L$23:L476,L476)-1)</f>
        <v/>
      </c>
      <c r="L476" s="301" t="str">
        <f t="shared" si="41"/>
        <v/>
      </c>
      <c r="N476" s="301" t="str">
        <f>IF(AND('PT Fee'!E170="Yes"),CONCATENATE(VLOOKUP('Fee Summary'!A166,'PT Fee'!$A$18:$G$167,3,FALSE)," - ",VLOOKUP('Fee Summary'!A166,'PT Fee'!$A$18:$G$167,4,FALSE)),"")</f>
        <v/>
      </c>
      <c r="O476" s="301" t="str">
        <f>IF(AND('PT Fee'!G170&lt;&gt;0,'PT Fee'!G170&lt;&gt;""),VLOOKUP('Fee Summary'!A166,'PT Fee'!$A$18:$G$167,6,FALSE),"")</f>
        <v/>
      </c>
      <c r="AH476" s="457"/>
    </row>
    <row r="477" spans="11:34" ht="15.75" hidden="1" x14ac:dyDescent="0.25">
      <c r="K477" s="301" t="str">
        <f>IF(ISERROR(RANK(L477,$L$23:$L$473,1)+COUNTIF($L$23:L477,L477)-1)=TRUE,"",RANK(L477,$L$23:$L$473,1)+COUNTIF($L$23:L477,L477)-1)</f>
        <v/>
      </c>
      <c r="L477" s="301" t="str">
        <f t="shared" si="41"/>
        <v/>
      </c>
      <c r="N477" s="301" t="str">
        <f>IF(AND('PT Fee'!E171="Yes"),CONCATENATE(VLOOKUP('Fee Summary'!A167,'PT Fee'!$A$18:$G$167,3,FALSE)," - ",VLOOKUP('Fee Summary'!A167,'PT Fee'!$A$18:$G$167,4,FALSE)),"")</f>
        <v/>
      </c>
      <c r="O477" s="301" t="str">
        <f>IF(AND('PT Fee'!G171&lt;&gt;0,'PT Fee'!G171&lt;&gt;""),VLOOKUP('Fee Summary'!A167,'PT Fee'!$A$18:$G$167,6,FALSE),"")</f>
        <v/>
      </c>
      <c r="AH477" s="457"/>
    </row>
    <row r="478" spans="11:34" ht="15.75" hidden="1" x14ac:dyDescent="0.25">
      <c r="K478" s="301" t="str">
        <f>IF(ISERROR(RANK(L478,$L$23:$L$473,1)+COUNTIF($L$23:L478,L478)-1)=TRUE,"",RANK(L478,$L$23:$L$473,1)+COUNTIF($L$23:L478,L478)-1)</f>
        <v/>
      </c>
      <c r="L478" s="301" t="str">
        <f t="shared" si="41"/>
        <v/>
      </c>
      <c r="N478" s="301" t="str">
        <f>IF(AND('PT Fee'!E172="Yes"),CONCATENATE(VLOOKUP('Fee Summary'!A168,'PT Fee'!$A$18:$G$167,3,FALSE)," - ",VLOOKUP('Fee Summary'!A168,'PT Fee'!$A$18:$G$167,4,FALSE)),"")</f>
        <v/>
      </c>
      <c r="O478" s="301" t="str">
        <f>IF(AND('PT Fee'!G172&lt;&gt;0,'PT Fee'!G172&lt;&gt;""),VLOOKUP('Fee Summary'!A168,'PT Fee'!$A$18:$G$167,6,FALSE),"")</f>
        <v/>
      </c>
      <c r="AH478" s="457"/>
    </row>
    <row r="479" spans="11:34" ht="15.75" hidden="1" x14ac:dyDescent="0.25">
      <c r="K479" s="301" t="str">
        <f>IF(ISERROR(RANK(L479,$L$23:$L$473,1)+COUNTIF($L$23:L479,L479)-1)=TRUE,"",RANK(L479,$L$23:$L$473,1)+COUNTIF($L$23:L479,L479)-1)</f>
        <v/>
      </c>
      <c r="L479" s="301" t="str">
        <f t="shared" si="41"/>
        <v/>
      </c>
      <c r="N479" s="301" t="str">
        <f>IF(AND('PT Fee'!E173="Yes"),CONCATENATE(VLOOKUP('Fee Summary'!A169,'PT Fee'!$A$18:$G$167,3,FALSE)," - ",VLOOKUP('Fee Summary'!A169,'PT Fee'!$A$18:$G$167,4,FALSE)),"")</f>
        <v/>
      </c>
      <c r="O479" s="301" t="str">
        <f>IF(AND('PT Fee'!G173&lt;&gt;0,'PT Fee'!G173&lt;&gt;""),VLOOKUP('Fee Summary'!A169,'PT Fee'!$A$18:$G$167,6,FALSE),"")</f>
        <v/>
      </c>
      <c r="AH479" s="457"/>
    </row>
    <row r="480" spans="11:34" hidden="1" x14ac:dyDescent="0.25">
      <c r="K480" s="301" t="str">
        <f>IF(ISERROR(RANK(L480,$L$23:$L$473,1)+COUNTIF($L$23:L480,L480)-1)=TRUE,"",RANK(L480,$L$23:$L$473,1)+COUNTIF($L$23:L480,L480)-1)</f>
        <v/>
      </c>
      <c r="L480" s="301" t="str">
        <f t="shared" si="41"/>
        <v/>
      </c>
      <c r="N480" s="301" t="str">
        <f>IF(AND('PT Fee'!E174="Yes"),CONCATENATE(VLOOKUP('Fee Summary'!A170,'PT Fee'!$A$18:$G$167,3,FALSE)," - ",VLOOKUP('Fee Summary'!A170,'PT Fee'!$A$18:$G$167,4,FALSE)),"")</f>
        <v/>
      </c>
      <c r="O480" s="301" t="str">
        <f>IF(AND('PT Fee'!G174&lt;&gt;0,'PT Fee'!G174&lt;&gt;""),VLOOKUP('Fee Summary'!A170,'PT Fee'!$A$18:$G$167,6,FALSE),"")</f>
        <v/>
      </c>
    </row>
    <row r="481" spans="11:15" hidden="1" x14ac:dyDescent="0.25">
      <c r="K481" s="301" t="str">
        <f>IF(ISERROR(RANK(L481,$L$23:$L$473,1)+COUNTIF($L$23:L481,L481)-1)=TRUE,"",RANK(L481,$L$23:$L$473,1)+COUNTIF($L$23:L481,L481)-1)</f>
        <v/>
      </c>
      <c r="L481" s="301" t="str">
        <f t="shared" si="41"/>
        <v/>
      </c>
      <c r="N481" s="301" t="str">
        <f>IF(AND('PT Fee'!E175="Yes"),CONCATENATE(VLOOKUP('Fee Summary'!A171,'PT Fee'!$A$18:$G$167,3,FALSE)," - ",VLOOKUP('Fee Summary'!A171,'PT Fee'!$A$18:$G$167,4,FALSE)),"")</f>
        <v/>
      </c>
      <c r="O481" s="301" t="str">
        <f>IF(AND('PT Fee'!G175&lt;&gt;0,'PT Fee'!G175&lt;&gt;""),VLOOKUP('Fee Summary'!A171,'PT Fee'!$A$18:$G$167,6,FALSE),"")</f>
        <v/>
      </c>
    </row>
    <row r="482" spans="11:15" hidden="1" x14ac:dyDescent="0.25">
      <c r="K482" s="301" t="str">
        <f>IF(ISERROR(RANK(L482,$L$23:$L$473,1)+COUNTIF($L$23:L482,L482)-1)=TRUE,"",RANK(L482,$L$23:$L$473,1)+COUNTIF($L$23:L482,L482)-1)</f>
        <v/>
      </c>
      <c r="L482" s="301" t="str">
        <f t="shared" si="41"/>
        <v/>
      </c>
      <c r="N482" s="301" t="str">
        <f>IF(AND('PT Fee'!E176="Yes"),CONCATENATE(VLOOKUP('Fee Summary'!A172,'PT Fee'!$A$18:$G$167,3,FALSE)," - ",VLOOKUP('Fee Summary'!A172,'PT Fee'!$A$18:$G$167,4,FALSE)),"")</f>
        <v/>
      </c>
      <c r="O482" s="301" t="str">
        <f>IF(AND('PT Fee'!G176&lt;&gt;0,'PT Fee'!G176&lt;&gt;""),VLOOKUP('Fee Summary'!A172,'PT Fee'!$A$18:$G$167,6,FALSE),"")</f>
        <v/>
      </c>
    </row>
    <row r="483" spans="11:15" hidden="1" x14ac:dyDescent="0.25">
      <c r="K483" s="301" t="str">
        <f>IF(ISERROR(RANK(L483,$L$23:$L$473,1)+COUNTIF($L$23:L483,L483)-1)=TRUE,"",RANK(L483,$L$23:$L$473,1)+COUNTIF($L$23:L483,L483)-1)</f>
        <v/>
      </c>
      <c r="L483" s="301" t="str">
        <f t="shared" si="41"/>
        <v/>
      </c>
      <c r="N483" s="301" t="str">
        <f>IF(AND('PT Fee'!E177="Yes"),CONCATENATE(VLOOKUP('Fee Summary'!A173,'PT Fee'!$A$18:$G$167,3,FALSE)," - ",VLOOKUP('Fee Summary'!A173,'PT Fee'!$A$18:$G$167,4,FALSE)),"")</f>
        <v/>
      </c>
      <c r="O483" s="301" t="str">
        <f>IF(AND('PT Fee'!G177&lt;&gt;0,'PT Fee'!G177&lt;&gt;""),VLOOKUP('Fee Summary'!A173,'PT Fee'!$A$18:$G$167,6,FALSE),"")</f>
        <v/>
      </c>
    </row>
    <row r="484" spans="11:15" hidden="1" x14ac:dyDescent="0.25">
      <c r="K484" s="301" t="str">
        <f>IF(ISERROR(RANK(L484,$L$23:$L$473,1)+COUNTIF($L$23:L484,L484)-1)=TRUE,"",RANK(L484,$L$23:$L$473,1)+COUNTIF($L$23:L484,L484)-1)</f>
        <v/>
      </c>
      <c r="N484" s="301" t="str">
        <f>IF(AND('PT Fee'!E178="Yes"),CONCATENATE(VLOOKUP('Fee Summary'!A174,'PT Fee'!$A$18:$G$167,3,FALSE)," - ",VLOOKUP('Fee Summary'!A174,'PT Fee'!$A$18:$G$167,4,FALSE)),"")</f>
        <v/>
      </c>
      <c r="O484" s="301" t="str">
        <f>IF(AND('PT Fee'!G178&lt;&gt;0,'PT Fee'!G178&lt;&gt;""),VLOOKUP('Fee Summary'!A174,'PT Fee'!$A$18:$G$167,6,FALSE),"")</f>
        <v/>
      </c>
    </row>
    <row r="485" spans="11:15" hidden="1" x14ac:dyDescent="0.25">
      <c r="K485" s="301" t="str">
        <f>IF(ISERROR(RANK(L485,$L$23:$L$473,1)+COUNTIF($L$23:L485,L485)-1)=TRUE,"",RANK(L485,$L$23:$L$473,1)+COUNTIF($L$23:L485,L485)-1)</f>
        <v/>
      </c>
      <c r="N485" s="301" t="str">
        <f>IF(AND('PT Fee'!E179="Yes"),CONCATENATE(VLOOKUP('Fee Summary'!A175,'PT Fee'!$A$18:$G$167,3,FALSE)," - ",VLOOKUP('Fee Summary'!A175,'PT Fee'!$A$18:$G$167,4,FALSE)),"")</f>
        <v/>
      </c>
      <c r="O485" s="301" t="str">
        <f>IF(AND('PT Fee'!G179&lt;&gt;0,'PT Fee'!G179&lt;&gt;""),VLOOKUP('Fee Summary'!A175,'PT Fee'!$A$18:$G$167,6,FALSE),"")</f>
        <v/>
      </c>
    </row>
    <row r="486" spans="11:15" hidden="1" x14ac:dyDescent="0.25">
      <c r="K486" s="301" t="str">
        <f>IF(ISERROR(RANK(L486,$L$23:$L$473,1)+COUNTIF($L$23:L486,L486)-1)=TRUE,"",RANK(L486,$L$23:$L$473,1)+COUNTIF($L$23:L486,L486)-1)</f>
        <v/>
      </c>
      <c r="N486" s="301" t="str">
        <f>IF(AND('PT Fee'!E180="Yes"),CONCATENATE(VLOOKUP('Fee Summary'!A176,'PT Fee'!$A$18:$G$167,3,FALSE)," - ",VLOOKUP('Fee Summary'!A176,'PT Fee'!$A$18:$G$167,4,FALSE)),"")</f>
        <v/>
      </c>
      <c r="O486" s="301" t="str">
        <f>IF(AND('PT Fee'!G180&lt;&gt;0,'PT Fee'!G180&lt;&gt;""),VLOOKUP('Fee Summary'!A176,'PT Fee'!$A$18:$G$167,6,FALSE),"")</f>
        <v/>
      </c>
    </row>
    <row r="487" spans="11:15" hidden="1" x14ac:dyDescent="0.25">
      <c r="K487" s="301" t="str">
        <f>IF(ISERROR(RANK(L487,$L$23:$L$473,1)+COUNTIF($L$23:L487,L487)-1)=TRUE,"",RANK(L487,$L$23:$L$473,1)+COUNTIF($L$23:L487,L487)-1)</f>
        <v/>
      </c>
      <c r="N487" s="301" t="str">
        <f>IF(AND('PT Fee'!E181="Yes"),CONCATENATE(VLOOKUP('Fee Summary'!A177,'PT Fee'!$A$18:$G$167,3,FALSE)," - ",VLOOKUP('Fee Summary'!A177,'PT Fee'!$A$18:$G$167,4,FALSE)),"")</f>
        <v/>
      </c>
      <c r="O487" s="301" t="str">
        <f>IF(AND('PT Fee'!G181&lt;&gt;0,'PT Fee'!G181&lt;&gt;""),VLOOKUP('Fee Summary'!A177,'PT Fee'!$A$18:$G$167,6,FALSE),"")</f>
        <v/>
      </c>
    </row>
    <row r="488" spans="11:15" hidden="1" x14ac:dyDescent="0.25">
      <c r="K488" s="301" t="str">
        <f>IF(ISERROR(RANK(L488,$L$23:$L$473,1)+COUNTIF($L$23:L488,L488)-1)=TRUE,"",RANK(L488,$L$23:$L$473,1)+COUNTIF($L$23:L488,L488)-1)</f>
        <v/>
      </c>
      <c r="N488" s="301" t="str">
        <f>IF(AND('PT Fee'!E182="Yes"),CONCATENATE(VLOOKUP('Fee Summary'!A178,'PT Fee'!$A$18:$G$167,3,FALSE)," - ",VLOOKUP('Fee Summary'!A178,'PT Fee'!$A$18:$G$167,4,FALSE)),"")</f>
        <v/>
      </c>
      <c r="O488" s="301" t="str">
        <f>IF(AND('PT Fee'!G182&lt;&gt;0,'PT Fee'!G182&lt;&gt;""),VLOOKUP('Fee Summary'!A178,'PT Fee'!$A$18:$G$167,6,FALSE),"")</f>
        <v/>
      </c>
    </row>
    <row r="489" spans="11:15" hidden="1" x14ac:dyDescent="0.25">
      <c r="K489" s="301" t="str">
        <f>IF(ISERROR(RANK(L489,$L$23:$L$473,1)+COUNTIF($L$23:L489,L489)-1)=TRUE,"",RANK(L489,$L$23:$L$473,1)+COUNTIF($L$23:L489,L489)-1)</f>
        <v/>
      </c>
      <c r="N489" s="301" t="str">
        <f>IF(AND('PT Fee'!E183="Yes"),CONCATENATE(VLOOKUP('Fee Summary'!A179,'PT Fee'!$A$18:$G$167,3,FALSE)," - ",VLOOKUP('Fee Summary'!A179,'PT Fee'!$A$18:$G$167,4,FALSE)),"")</f>
        <v/>
      </c>
      <c r="O489" s="301" t="str">
        <f>IF(AND('PT Fee'!G183&lt;&gt;0,'PT Fee'!G183&lt;&gt;""),VLOOKUP('Fee Summary'!A179,'PT Fee'!$A$18:$G$167,6,FALSE),"")</f>
        <v/>
      </c>
    </row>
    <row r="490" spans="11:15" hidden="1" x14ac:dyDescent="0.25">
      <c r="K490" s="301" t="str">
        <f>IF(ISERROR(RANK(L490,$L$23:$L$473,1)+COUNTIF($L$23:L490,L490)-1)=TRUE,"",RANK(L490,$L$23:$L$473,1)+COUNTIF($L$23:L490,L490)-1)</f>
        <v/>
      </c>
      <c r="N490" s="301" t="str">
        <f>IF(AND('PT Fee'!E184="Yes"),CONCATENATE(VLOOKUP('Fee Summary'!A180,'PT Fee'!$A$18:$G$167,3,FALSE)," - ",VLOOKUP('Fee Summary'!A180,'PT Fee'!$A$18:$G$167,4,FALSE)),"")</f>
        <v/>
      </c>
      <c r="O490" s="301" t="str">
        <f>IF(AND('PT Fee'!G184&lt;&gt;0,'PT Fee'!G184&lt;&gt;""),VLOOKUP('Fee Summary'!A180,'PT Fee'!$A$18:$G$167,6,FALSE),"")</f>
        <v/>
      </c>
    </row>
    <row r="491" spans="11:15" hidden="1" x14ac:dyDescent="0.25">
      <c r="K491" s="301" t="str">
        <f>IF(ISERROR(RANK(L491,$L$23:$L$473,1)+COUNTIF($L$23:L491,L491)-1)=TRUE,"",RANK(L491,$L$23:$L$473,1)+COUNTIF($L$23:L491,L491)-1)</f>
        <v/>
      </c>
      <c r="N491" s="301" t="str">
        <f>IF(AND('PT Fee'!E185="Yes"),CONCATENATE(VLOOKUP('Fee Summary'!A181,'PT Fee'!$A$18:$G$167,3,FALSE)," - ",VLOOKUP('Fee Summary'!A181,'PT Fee'!$A$18:$G$167,4,FALSE)),"")</f>
        <v/>
      </c>
      <c r="O491" s="301" t="str">
        <f>IF(AND('PT Fee'!G185&lt;&gt;0,'PT Fee'!G185&lt;&gt;""),VLOOKUP('Fee Summary'!A181,'PT Fee'!$A$18:$G$167,6,FALSE),"")</f>
        <v/>
      </c>
    </row>
    <row r="492" spans="11:15" hidden="1" x14ac:dyDescent="0.25">
      <c r="K492" s="301" t="str">
        <f>IF(ISERROR(RANK(L492,$L$23:$L$473,1)+COUNTIF($L$23:L492,L492)-1)=TRUE,"",RANK(L492,$L$23:$L$473,1)+COUNTIF($L$23:L492,L492)-1)</f>
        <v/>
      </c>
      <c r="N492" s="301" t="str">
        <f>IF(AND('PT Fee'!E186="Yes"),CONCATENATE(VLOOKUP('Fee Summary'!A182,'PT Fee'!$A$18:$G$167,3,FALSE)," - ",VLOOKUP('Fee Summary'!A182,'PT Fee'!$A$18:$G$167,4,FALSE)),"")</f>
        <v/>
      </c>
      <c r="O492" s="301" t="str">
        <f>IF(AND('PT Fee'!G186&lt;&gt;0,'PT Fee'!G186&lt;&gt;""),VLOOKUP('Fee Summary'!A182,'PT Fee'!$A$18:$G$167,6,FALSE),"")</f>
        <v/>
      </c>
    </row>
    <row r="493" spans="11:15" hidden="1" x14ac:dyDescent="0.25">
      <c r="K493" s="301" t="str">
        <f>IF(ISERROR(RANK(L493,$L$23:$L$473,1)+COUNTIF($L$23:L493,L493)-1)=TRUE,"",RANK(L493,$L$23:$L$473,1)+COUNTIF($L$23:L493,L493)-1)</f>
        <v/>
      </c>
      <c r="N493" s="301" t="str">
        <f>IF(AND('PT Fee'!E187="Yes"),CONCATENATE(VLOOKUP('Fee Summary'!A183,'PT Fee'!$A$18:$G$167,3,FALSE)," - ",VLOOKUP('Fee Summary'!A183,'PT Fee'!$A$18:$G$167,4,FALSE)),"")</f>
        <v/>
      </c>
      <c r="O493" s="301" t="str">
        <f>IF(AND('PT Fee'!G187&lt;&gt;0,'PT Fee'!G187&lt;&gt;""),VLOOKUP('Fee Summary'!A183,'PT Fee'!$A$18:$G$167,6,FALSE),"")</f>
        <v/>
      </c>
    </row>
    <row r="494" spans="11:15" hidden="1" x14ac:dyDescent="0.25">
      <c r="K494" s="301" t="str">
        <f>IF(ISERROR(RANK(L494,$L$23:$L$473,1)+COUNTIF($L$23:L494,L494)-1)=TRUE,"",RANK(L494,$L$23:$L$473,1)+COUNTIF($L$23:L494,L494)-1)</f>
        <v/>
      </c>
      <c r="N494" s="301" t="str">
        <f>IF(AND('PT Fee'!E188="Yes"),CONCATENATE(VLOOKUP('Fee Summary'!A184,'PT Fee'!$A$18:$G$167,3,FALSE)," - ",VLOOKUP('Fee Summary'!A184,'PT Fee'!$A$18:$G$167,4,FALSE)),"")</f>
        <v/>
      </c>
      <c r="O494" s="301" t="str">
        <f>IF(AND('PT Fee'!G188&lt;&gt;0,'PT Fee'!G188&lt;&gt;""),VLOOKUP('Fee Summary'!A184,'PT Fee'!$A$18:$G$167,6,FALSE),"")</f>
        <v/>
      </c>
    </row>
    <row r="495" spans="11:15" hidden="1" x14ac:dyDescent="0.25">
      <c r="K495" s="301" t="str">
        <f>IF(ISERROR(RANK(L495,$L$23:$L$473,1)+COUNTIF($L$23:L495,L495)-1)=TRUE,"",RANK(L495,$L$23:$L$473,1)+COUNTIF($L$23:L495,L495)-1)</f>
        <v/>
      </c>
      <c r="N495" s="301" t="str">
        <f>IF(AND('PT Fee'!E189="Yes"),CONCATENATE(VLOOKUP('Fee Summary'!A185,'PT Fee'!$A$18:$G$167,3,FALSE)," - ",VLOOKUP('Fee Summary'!A185,'PT Fee'!$A$18:$G$167,4,FALSE)),"")</f>
        <v/>
      </c>
      <c r="O495" s="301" t="str">
        <f>IF(AND('PT Fee'!G189&lt;&gt;0,'PT Fee'!G189&lt;&gt;""),VLOOKUP('Fee Summary'!A185,'PT Fee'!$A$18:$G$167,6,FALSE),"")</f>
        <v/>
      </c>
    </row>
    <row r="496" spans="11:15" hidden="1" x14ac:dyDescent="0.25">
      <c r="K496" s="301" t="str">
        <f>IF(ISERROR(RANK(L496,$L$23:$L$473,1)+COUNTIF($L$23:L496,L496)-1)=TRUE,"",RANK(L496,$L$23:$L$473,1)+COUNTIF($L$23:L496,L496)-1)</f>
        <v/>
      </c>
      <c r="N496" s="301" t="str">
        <f>IF(AND('PT Fee'!E190="Yes"),CONCATENATE(VLOOKUP('Fee Summary'!A186,'PT Fee'!$A$18:$G$167,3,FALSE)," - ",VLOOKUP('Fee Summary'!A186,'PT Fee'!$A$18:$G$167,4,FALSE)),"")</f>
        <v/>
      </c>
      <c r="O496" s="301" t="str">
        <f>IF(AND('PT Fee'!G190&lt;&gt;0,'PT Fee'!G190&lt;&gt;""),VLOOKUP('Fee Summary'!A186,'PT Fee'!$A$18:$G$167,6,FALSE),"")</f>
        <v/>
      </c>
    </row>
    <row r="497" spans="11:15" hidden="1" x14ac:dyDescent="0.25">
      <c r="K497" s="301" t="str">
        <f>IF(ISERROR(RANK(L497,$L$23:$L$473,1)+COUNTIF($L$23:L497,L497)-1)=TRUE,"",RANK(L497,$L$23:$L$473,1)+COUNTIF($L$23:L497,L497)-1)</f>
        <v/>
      </c>
      <c r="N497" s="301" t="str">
        <f>IF(AND('PT Fee'!E191="Yes"),CONCATENATE(VLOOKUP('Fee Summary'!A187,'PT Fee'!$A$18:$G$167,3,FALSE)," - ",VLOOKUP('Fee Summary'!A187,'PT Fee'!$A$18:$G$167,4,FALSE)),"")</f>
        <v/>
      </c>
      <c r="O497" s="301" t="str">
        <f>IF(AND('PT Fee'!G191&lt;&gt;0,'PT Fee'!G191&lt;&gt;""),VLOOKUP('Fee Summary'!A187,'PT Fee'!$A$18:$G$167,6,FALSE),"")</f>
        <v/>
      </c>
    </row>
    <row r="498" spans="11:15" hidden="1" x14ac:dyDescent="0.25">
      <c r="K498" s="301" t="str">
        <f>IF(ISERROR(RANK(L498,$L$23:$L$473,1)+COUNTIF($L$23:L498,L498)-1)=TRUE,"",RANK(L498,$L$23:$L$473,1)+COUNTIF($L$23:L498,L498)-1)</f>
        <v/>
      </c>
      <c r="N498" s="301" t="str">
        <f>IF(AND('PT Fee'!E192="Yes"),CONCATENATE(VLOOKUP('Fee Summary'!A188,'PT Fee'!$A$18:$G$167,3,FALSE)," - ",VLOOKUP('Fee Summary'!A188,'PT Fee'!$A$18:$G$167,4,FALSE)),"")</f>
        <v/>
      </c>
      <c r="O498" s="301" t="str">
        <f>IF(AND('PT Fee'!G192&lt;&gt;0,'PT Fee'!G192&lt;&gt;""),VLOOKUP('Fee Summary'!A188,'PT Fee'!$A$18:$G$167,6,FALSE),"")</f>
        <v/>
      </c>
    </row>
    <row r="499" spans="11:15" hidden="1" x14ac:dyDescent="0.25">
      <c r="K499" s="301" t="str">
        <f>IF(ISERROR(RANK(L499,$L$23:$L$473,1)+COUNTIF($L$23:L499,L499)-1)=TRUE,"",RANK(L499,$L$23:$L$473,1)+COUNTIF($L$23:L499,L499)-1)</f>
        <v/>
      </c>
      <c r="N499" s="301" t="str">
        <f>IF(AND('PT Fee'!E193="Yes"),CONCATENATE(VLOOKUP('Fee Summary'!A189,'PT Fee'!$A$18:$G$167,3,FALSE)," - ",VLOOKUP('Fee Summary'!A189,'PT Fee'!$A$18:$G$167,4,FALSE)),"")</f>
        <v/>
      </c>
      <c r="O499" s="301" t="str">
        <f>IF(AND('PT Fee'!G193&lt;&gt;0,'PT Fee'!G193&lt;&gt;""),VLOOKUP('Fee Summary'!A189,'PT Fee'!$A$18:$G$167,6,FALSE),"")</f>
        <v/>
      </c>
    </row>
    <row r="500" spans="11:15" hidden="1" x14ac:dyDescent="0.25">
      <c r="K500" s="301" t="str">
        <f>IF(ISERROR(RANK(L500,$L$23:$L$473,1)+COUNTIF($L$23:L500,L500)-1)=TRUE,"",RANK(L500,$L$23:$L$473,1)+COUNTIF($L$23:L500,L500)-1)</f>
        <v/>
      </c>
      <c r="N500" s="301" t="str">
        <f>IF(AND('PT Fee'!E194="Yes"),CONCATENATE(VLOOKUP('Fee Summary'!A190,'PT Fee'!$A$18:$G$167,3,FALSE)," - ",VLOOKUP('Fee Summary'!A190,'PT Fee'!$A$18:$G$167,4,FALSE)),"")</f>
        <v/>
      </c>
      <c r="O500" s="301" t="str">
        <f>IF(AND('PT Fee'!G194&lt;&gt;0,'PT Fee'!G194&lt;&gt;""),VLOOKUP('Fee Summary'!A190,'PT Fee'!$A$18:$G$167,6,FALSE),"")</f>
        <v/>
      </c>
    </row>
    <row r="501" spans="11:15" hidden="1" x14ac:dyDescent="0.25">
      <c r="K501" s="301" t="str">
        <f>IF(ISERROR(RANK(L501,$L$23:$L$473,1)+COUNTIF($L$23:L501,L501)-1)=TRUE,"",RANK(L501,$L$23:$L$473,1)+COUNTIF($L$23:L501,L501)-1)</f>
        <v/>
      </c>
      <c r="N501" s="301" t="str">
        <f>IF(AND('PT Fee'!E195="Yes"),CONCATENATE(VLOOKUP('Fee Summary'!A191,'PT Fee'!$A$18:$G$167,3,FALSE)," - ",VLOOKUP('Fee Summary'!A191,'PT Fee'!$A$18:$G$167,4,FALSE)),"")</f>
        <v/>
      </c>
      <c r="O501" s="301" t="str">
        <f>IF(AND('PT Fee'!G195&lt;&gt;0,'PT Fee'!G195&lt;&gt;""),VLOOKUP('Fee Summary'!A191,'PT Fee'!$A$18:$G$167,6,FALSE),"")</f>
        <v/>
      </c>
    </row>
    <row r="502" spans="11:15" hidden="1" x14ac:dyDescent="0.25">
      <c r="K502" s="301" t="str">
        <f>IF(ISERROR(RANK(L502,$L$23:$L$473,1)+COUNTIF($L$23:L502,L502)-1)=TRUE,"",RANK(L502,$L$23:$L$473,1)+COUNTIF($L$23:L502,L502)-1)</f>
        <v/>
      </c>
      <c r="N502" s="301" t="str">
        <f>IF(AND('PT Fee'!E196="Yes"),CONCATENATE(VLOOKUP('Fee Summary'!A192,'PT Fee'!$A$18:$G$167,3,FALSE)," - ",VLOOKUP('Fee Summary'!A192,'PT Fee'!$A$18:$G$167,4,FALSE)),"")</f>
        <v/>
      </c>
      <c r="O502" s="301" t="str">
        <f>IF(AND('PT Fee'!G196&lt;&gt;0,'PT Fee'!G196&lt;&gt;""),VLOOKUP('Fee Summary'!A192,'PT Fee'!$A$18:$G$167,6,FALSE),"")</f>
        <v/>
      </c>
    </row>
    <row r="503" spans="11:15" hidden="1" x14ac:dyDescent="0.25">
      <c r="K503" s="301" t="str">
        <f>IF(ISERROR(RANK(L503,$L$23:$L$473,1)+COUNTIF($L$23:L503,L503)-1)=TRUE,"",RANK(L503,$L$23:$L$473,1)+COUNTIF($L$23:L503,L503)-1)</f>
        <v/>
      </c>
      <c r="N503" s="301" t="str">
        <f>IF(AND('PT Fee'!E197="Yes"),CONCATENATE(VLOOKUP('Fee Summary'!A193,'PT Fee'!$A$18:$G$167,3,FALSE)," - ",VLOOKUP('Fee Summary'!A193,'PT Fee'!$A$18:$G$167,4,FALSE)),"")</f>
        <v/>
      </c>
      <c r="O503" s="301" t="str">
        <f>IF(AND('PT Fee'!G197&lt;&gt;0,'PT Fee'!G197&lt;&gt;""),VLOOKUP('Fee Summary'!A193,'PT Fee'!$A$18:$G$167,6,FALSE),"")</f>
        <v/>
      </c>
    </row>
    <row r="504" spans="11:15" hidden="1" x14ac:dyDescent="0.25">
      <c r="K504" s="301" t="str">
        <f>IF(ISERROR(RANK(L504,$L$23:$L$473,1)+COUNTIF($L$23:L504,L504)-1)=TRUE,"",RANK(L504,$L$23:$L$473,1)+COUNTIF($L$23:L504,L504)-1)</f>
        <v/>
      </c>
      <c r="N504" s="301" t="str">
        <f>IF(AND('PT Fee'!E198="Yes"),CONCATENATE(VLOOKUP('Fee Summary'!A194,'PT Fee'!$A$18:$G$167,3,FALSE)," - ",VLOOKUP('Fee Summary'!A194,'PT Fee'!$A$18:$G$167,4,FALSE)),"")</f>
        <v/>
      </c>
      <c r="O504" s="301" t="str">
        <f>IF(AND('PT Fee'!G198&lt;&gt;0,'PT Fee'!G198&lt;&gt;""),VLOOKUP('Fee Summary'!A194,'PT Fee'!$A$18:$G$167,6,FALSE),"")</f>
        <v/>
      </c>
    </row>
    <row r="505" spans="11:15" hidden="1" x14ac:dyDescent="0.25">
      <c r="K505" s="301" t="str">
        <f>IF(ISERROR(RANK(L505,$L$23:$L$473,1)+COUNTIF($L$23:L505,L505)-1)=TRUE,"",RANK(L505,$L$23:$L$473,1)+COUNTIF($L$23:L505,L505)-1)</f>
        <v/>
      </c>
      <c r="N505" s="301" t="str">
        <f>IF(AND('PT Fee'!E199="Yes"),CONCATENATE(VLOOKUP('Fee Summary'!A195,'PT Fee'!$A$18:$G$167,3,FALSE)," - ",VLOOKUP('Fee Summary'!A195,'PT Fee'!$A$18:$G$167,4,FALSE)),"")</f>
        <v/>
      </c>
      <c r="O505" s="301" t="str">
        <f>IF(AND('PT Fee'!G199&lt;&gt;0,'PT Fee'!G199&lt;&gt;""),VLOOKUP('Fee Summary'!A195,'PT Fee'!$A$18:$G$167,6,FALSE),"")</f>
        <v/>
      </c>
    </row>
    <row r="506" spans="11:15" hidden="1" x14ac:dyDescent="0.25">
      <c r="K506" s="301" t="str">
        <f>IF(ISERROR(RANK(L506,$L$23:$L$473,1)+COUNTIF($L$23:L506,L506)-1)=TRUE,"",RANK(L506,$L$23:$L$473,1)+COUNTIF($L$23:L506,L506)-1)</f>
        <v/>
      </c>
      <c r="N506" s="301" t="str">
        <f>IF(AND('PT Fee'!E200="Yes"),CONCATENATE(VLOOKUP('Fee Summary'!A196,'PT Fee'!$A$18:$G$167,3,FALSE)," - ",VLOOKUP('Fee Summary'!A196,'PT Fee'!$A$18:$G$167,4,FALSE)),"")</f>
        <v/>
      </c>
      <c r="O506" s="301" t="str">
        <f>IF(AND('PT Fee'!G200&lt;&gt;0,'PT Fee'!G200&lt;&gt;""),VLOOKUP('Fee Summary'!A196,'PT Fee'!$A$18:$G$167,6,FALSE),"")</f>
        <v/>
      </c>
    </row>
    <row r="507" spans="11:15" hidden="1" x14ac:dyDescent="0.25">
      <c r="K507" s="301" t="str">
        <f>IF(ISERROR(RANK(L507,$L$23:$L$473,1)+COUNTIF($L$23:L507,L507)-1)=TRUE,"",RANK(L507,$L$23:$L$473,1)+COUNTIF($L$23:L507,L507)-1)</f>
        <v/>
      </c>
      <c r="N507" s="301" t="str">
        <f>IF(AND('PT Fee'!E201="Yes"),CONCATENATE(VLOOKUP('Fee Summary'!A197,'PT Fee'!$A$18:$G$167,3,FALSE)," - ",VLOOKUP('Fee Summary'!A197,'PT Fee'!$A$18:$G$167,4,FALSE)),"")</f>
        <v/>
      </c>
      <c r="O507" s="301" t="str">
        <f>IF(AND('PT Fee'!G201&lt;&gt;0,'PT Fee'!G201&lt;&gt;""),VLOOKUP('Fee Summary'!A197,'PT Fee'!$A$18:$G$167,6,FALSE),"")</f>
        <v/>
      </c>
    </row>
    <row r="508" spans="11:15" hidden="1" x14ac:dyDescent="0.25">
      <c r="K508" s="301" t="str">
        <f>IF(ISERROR(RANK(L508,$L$23:$L$473,1)+COUNTIF($L$23:L508,L508)-1)=TRUE,"",RANK(L508,$L$23:$L$473,1)+COUNTIF($L$23:L508,L508)-1)</f>
        <v/>
      </c>
      <c r="N508" s="301" t="str">
        <f>IF(AND('PT Fee'!E202="Yes"),CONCATENATE(VLOOKUP('Fee Summary'!A198,'PT Fee'!$A$18:$G$167,3,FALSE)," - ",VLOOKUP('Fee Summary'!A198,'PT Fee'!$A$18:$G$167,4,FALSE)),"")</f>
        <v/>
      </c>
      <c r="O508" s="301" t="str">
        <f>IF(AND('PT Fee'!G202&lt;&gt;0,'PT Fee'!G202&lt;&gt;""),VLOOKUP('Fee Summary'!A198,'PT Fee'!$A$18:$G$167,6,FALSE),"")</f>
        <v/>
      </c>
    </row>
    <row r="509" spans="11:15" hidden="1" x14ac:dyDescent="0.25">
      <c r="K509" s="301" t="str">
        <f>IF(ISERROR(RANK(L509,$L$23:$L$473,1)+COUNTIF($L$23:L509,L509)-1)=TRUE,"",RANK(L509,$L$23:$L$473,1)+COUNTIF($L$23:L509,L509)-1)</f>
        <v/>
      </c>
      <c r="N509" s="301" t="str">
        <f>IF(AND('PT Fee'!E203="Yes"),CONCATENATE(VLOOKUP('Fee Summary'!A199,'PT Fee'!$A$18:$G$167,3,FALSE)," - ",VLOOKUP('Fee Summary'!A199,'PT Fee'!$A$18:$G$167,4,FALSE)),"")</f>
        <v/>
      </c>
      <c r="O509" s="301" t="str">
        <f>IF(AND('PT Fee'!G203&lt;&gt;0,'PT Fee'!G203&lt;&gt;""),VLOOKUP('Fee Summary'!A199,'PT Fee'!$A$18:$G$167,6,FALSE),"")</f>
        <v/>
      </c>
    </row>
    <row r="510" spans="11:15" hidden="1" x14ac:dyDescent="0.25">
      <c r="K510" s="301" t="str">
        <f>IF(ISERROR(RANK(L510,$L$23:$L$473,1)+COUNTIF($L$23:L510,L510)-1)=TRUE,"",RANK(L510,$L$23:$L$473,1)+COUNTIF($L$23:L510,L510)-1)</f>
        <v/>
      </c>
      <c r="N510" s="301" t="str">
        <f>IF(AND('PT Fee'!E204="Yes"),CONCATENATE(VLOOKUP('Fee Summary'!A200,'PT Fee'!$A$18:$G$167,3,FALSE)," - ",VLOOKUP('Fee Summary'!A200,'PT Fee'!$A$18:$G$167,4,FALSE)),"")</f>
        <v/>
      </c>
      <c r="O510" s="301" t="str">
        <f>IF(AND('PT Fee'!G204&lt;&gt;0,'PT Fee'!G204&lt;&gt;""),VLOOKUP('Fee Summary'!A200,'PT Fee'!$A$18:$G$167,6,FALSE),"")</f>
        <v/>
      </c>
    </row>
    <row r="511" spans="11:15" hidden="1" x14ac:dyDescent="0.25">
      <c r="K511" s="301" t="str">
        <f>IF(ISERROR(RANK(L511,$L$23:$L$473,1)+COUNTIF($L$23:L511,L511)-1)=TRUE,"",RANK(L511,$L$23:$L$473,1)+COUNTIF($L$23:L511,L511)-1)</f>
        <v/>
      </c>
      <c r="N511" s="301" t="str">
        <f>IF(AND('PT Fee'!E205="Yes"),CONCATENATE(VLOOKUP('Fee Summary'!A201,'PT Fee'!$A$18:$G$167,3,FALSE)," - ",VLOOKUP('Fee Summary'!A201,'PT Fee'!$A$18:$G$167,4,FALSE)),"")</f>
        <v/>
      </c>
      <c r="O511" s="301" t="str">
        <f>IF(AND('PT Fee'!G205&lt;&gt;0,'PT Fee'!G205&lt;&gt;""),VLOOKUP('Fee Summary'!A201,'PT Fee'!$A$18:$G$167,6,FALSE),"")</f>
        <v/>
      </c>
    </row>
    <row r="512" spans="11:15" hidden="1" x14ac:dyDescent="0.25">
      <c r="K512" s="301" t="str">
        <f>IF(ISERROR(RANK(L512,$L$23:$L$473,1)+COUNTIF($L$23:L512,L512)-1)=TRUE,"",RANK(L512,$L$23:$L$473,1)+COUNTIF($L$23:L512,L512)-1)</f>
        <v/>
      </c>
      <c r="N512" s="301" t="str">
        <f>IF(AND('PT Fee'!E206="Yes"),CONCATENATE(VLOOKUP('Fee Summary'!A202,'PT Fee'!$A$18:$G$167,3,FALSE)," - ",VLOOKUP('Fee Summary'!A202,'PT Fee'!$A$18:$G$167,4,FALSE)),"")</f>
        <v/>
      </c>
      <c r="O512" s="301" t="str">
        <f>IF(AND('PT Fee'!G206&lt;&gt;0,'PT Fee'!G206&lt;&gt;""),VLOOKUP('Fee Summary'!A202,'PT Fee'!$A$18:$G$167,6,FALSE),"")</f>
        <v/>
      </c>
    </row>
    <row r="513" spans="11:15" hidden="1" x14ac:dyDescent="0.25">
      <c r="K513" s="301" t="str">
        <f>IF(ISERROR(RANK(L513,$L$23:$L$473,1)+COUNTIF($L$23:L513,L513)-1)=TRUE,"",RANK(L513,$L$23:$L$473,1)+COUNTIF($L$23:L513,L513)-1)</f>
        <v/>
      </c>
      <c r="N513" s="301" t="str">
        <f>IF(AND('PT Fee'!E207="Yes"),CONCATENATE(VLOOKUP('Fee Summary'!A203,'PT Fee'!$A$18:$G$167,3,FALSE)," - ",VLOOKUP('Fee Summary'!A203,'PT Fee'!$A$18:$G$167,4,FALSE)),"")</f>
        <v/>
      </c>
      <c r="O513" s="301" t="str">
        <f>IF(AND('PT Fee'!G207&lt;&gt;0,'PT Fee'!G207&lt;&gt;""),VLOOKUP('Fee Summary'!A203,'PT Fee'!$A$18:$G$167,6,FALSE),"")</f>
        <v/>
      </c>
    </row>
    <row r="514" spans="11:15" hidden="1" x14ac:dyDescent="0.25">
      <c r="K514" s="301" t="str">
        <f>IF(ISERROR(RANK(L514,$L$23:$L$473,1)+COUNTIF($L$23:L514,L514)-1)=TRUE,"",RANK(L514,$L$23:$L$473,1)+COUNTIF($L$23:L514,L514)-1)</f>
        <v/>
      </c>
      <c r="N514" s="301" t="str">
        <f>IF(AND('PT Fee'!E208="Yes"),CONCATENATE(VLOOKUP('Fee Summary'!A204,'PT Fee'!$A$18:$G$167,3,FALSE)," - ",VLOOKUP('Fee Summary'!A204,'PT Fee'!$A$18:$G$167,4,FALSE)),"")</f>
        <v/>
      </c>
      <c r="O514" s="301" t="str">
        <f>IF(AND('PT Fee'!G208&lt;&gt;0,'PT Fee'!G208&lt;&gt;""),VLOOKUP('Fee Summary'!A204,'PT Fee'!$A$18:$G$167,6,FALSE),"")</f>
        <v/>
      </c>
    </row>
    <row r="515" spans="11:15" hidden="1" x14ac:dyDescent="0.25">
      <c r="K515" s="301" t="str">
        <f>IF(ISERROR(RANK(L515,$L$23:$L$473,1)+COUNTIF($L$23:L515,L515)-1)=TRUE,"",RANK(L515,$L$23:$L$473,1)+COUNTIF($L$23:L515,L515)-1)</f>
        <v/>
      </c>
      <c r="N515" s="301" t="str">
        <f>IF(AND('PT Fee'!E209="Yes"),CONCATENATE(VLOOKUP('Fee Summary'!A205,'PT Fee'!$A$18:$G$167,3,FALSE)," - ",VLOOKUP('Fee Summary'!A205,'PT Fee'!$A$18:$G$167,4,FALSE)),"")</f>
        <v/>
      </c>
      <c r="O515" s="301" t="str">
        <f>IF(AND('PT Fee'!G209&lt;&gt;0,'PT Fee'!G209&lt;&gt;""),VLOOKUP('Fee Summary'!A205,'PT Fee'!$A$18:$G$167,6,FALSE),"")</f>
        <v/>
      </c>
    </row>
    <row r="516" spans="11:15" hidden="1" x14ac:dyDescent="0.25">
      <c r="K516" s="301" t="str">
        <f>IF(ISERROR(RANK(L516,$L$23:$L$473,1)+COUNTIF($L$23:L516,L516)-1)=TRUE,"",RANK(L516,$L$23:$L$473,1)+COUNTIF($L$23:L516,L516)-1)</f>
        <v/>
      </c>
      <c r="N516" s="301" t="str">
        <f>IF(AND('PT Fee'!E210="Yes"),CONCATENATE(VLOOKUP('Fee Summary'!A206,'PT Fee'!$A$18:$G$167,3,FALSE)," - ",VLOOKUP('Fee Summary'!A206,'PT Fee'!$A$18:$G$167,4,FALSE)),"")</f>
        <v/>
      </c>
      <c r="O516" s="301" t="str">
        <f>IF(AND('PT Fee'!G210&lt;&gt;0,'PT Fee'!G210&lt;&gt;""),VLOOKUP('Fee Summary'!A206,'PT Fee'!$A$18:$G$167,6,FALSE),"")</f>
        <v/>
      </c>
    </row>
    <row r="517" spans="11:15" hidden="1" x14ac:dyDescent="0.25">
      <c r="K517" s="301" t="str">
        <f>IF(ISERROR(RANK(L517,$L$23:$L$473,1)+COUNTIF($L$23:L517,L517)-1)=TRUE,"",RANK(L517,$L$23:$L$473,1)+COUNTIF($L$23:L517,L517)-1)</f>
        <v/>
      </c>
      <c r="N517" s="301" t="str">
        <f>IF(AND('PT Fee'!E211="Yes"),CONCATENATE(VLOOKUP('Fee Summary'!A207,'PT Fee'!$A$18:$G$167,3,FALSE)," - ",VLOOKUP('Fee Summary'!A207,'PT Fee'!$A$18:$G$167,4,FALSE)),"")</f>
        <v/>
      </c>
      <c r="O517" s="301" t="str">
        <f>IF(AND('PT Fee'!G211&lt;&gt;0,'PT Fee'!G211&lt;&gt;""),VLOOKUP('Fee Summary'!A207,'PT Fee'!$A$18:$G$167,6,FALSE),"")</f>
        <v/>
      </c>
    </row>
    <row r="518" spans="11:15" hidden="1" x14ac:dyDescent="0.25">
      <c r="K518" s="301" t="str">
        <f>IF(ISERROR(RANK(L518,$L$23:$L$473,1)+COUNTIF($L$23:L518,L518)-1)=TRUE,"",RANK(L518,$L$23:$L$473,1)+COUNTIF($L$23:L518,L518)-1)</f>
        <v/>
      </c>
      <c r="N518" s="301" t="str">
        <f>IF(AND('PT Fee'!E212="Yes"),CONCATENATE(VLOOKUP('Fee Summary'!A208,'PT Fee'!$A$18:$G$167,3,FALSE)," - ",VLOOKUP('Fee Summary'!A208,'PT Fee'!$A$18:$G$167,4,FALSE)),"")</f>
        <v/>
      </c>
      <c r="O518" s="301" t="str">
        <f>IF(AND('PT Fee'!G212&lt;&gt;0,'PT Fee'!G212&lt;&gt;""),VLOOKUP('Fee Summary'!A208,'PT Fee'!$A$18:$G$167,6,FALSE),"")</f>
        <v/>
      </c>
    </row>
    <row r="519" spans="11:15" hidden="1" x14ac:dyDescent="0.25">
      <c r="K519" s="301" t="str">
        <f>IF(ISERROR(RANK(L519,$L$23:$L$473,1)+COUNTIF($L$23:L519,L519)-1)=TRUE,"",RANK(L519,$L$23:$L$473,1)+COUNTIF($L$23:L519,L519)-1)</f>
        <v/>
      </c>
      <c r="N519" s="301" t="str">
        <f>IF(AND('PT Fee'!E213="Yes"),CONCATENATE(VLOOKUP('Fee Summary'!A209,'PT Fee'!$A$18:$G$167,3,FALSE)," - ",VLOOKUP('Fee Summary'!A209,'PT Fee'!$A$18:$G$167,4,FALSE)),"")</f>
        <v/>
      </c>
      <c r="O519" s="301" t="str">
        <f>IF(AND('PT Fee'!G213&lt;&gt;0,'PT Fee'!G213&lt;&gt;""),VLOOKUP('Fee Summary'!A209,'PT Fee'!$A$18:$G$167,6,FALSE),"")</f>
        <v/>
      </c>
    </row>
    <row r="520" spans="11:15" hidden="1" x14ac:dyDescent="0.25">
      <c r="K520" s="301" t="str">
        <f>IF(ISERROR(RANK(L520,$L$23:$L$473,1)+COUNTIF($L$23:L520,L520)-1)=TRUE,"",RANK(L520,$L$23:$L$473,1)+COUNTIF($L$23:L520,L520)-1)</f>
        <v/>
      </c>
      <c r="N520" s="301" t="str">
        <f>IF(AND('PT Fee'!E214="Yes"),CONCATENATE(VLOOKUP('Fee Summary'!A210,'PT Fee'!$A$18:$G$167,3,FALSE)," - ",VLOOKUP('Fee Summary'!A210,'PT Fee'!$A$18:$G$167,4,FALSE)),"")</f>
        <v/>
      </c>
      <c r="O520" s="301" t="str">
        <f>IF(AND('PT Fee'!G214&lt;&gt;0,'PT Fee'!G214&lt;&gt;""),VLOOKUP('Fee Summary'!A210,'PT Fee'!$A$18:$G$167,6,FALSE),"")</f>
        <v/>
      </c>
    </row>
    <row r="521" spans="11:15" hidden="1" x14ac:dyDescent="0.25">
      <c r="K521" s="301" t="str">
        <f>IF(ISERROR(RANK(L521,$L$23:$L$473,1)+COUNTIF($L$23:L521,L521)-1)=TRUE,"",RANK(L521,$L$23:$L$473,1)+COUNTIF($L$23:L521,L521)-1)</f>
        <v/>
      </c>
      <c r="N521" s="301" t="str">
        <f>IF(AND('PT Fee'!E215="Yes"),CONCATENATE(VLOOKUP('Fee Summary'!A211,'PT Fee'!$A$18:$G$167,3,FALSE)," - ",VLOOKUP('Fee Summary'!A211,'PT Fee'!$A$18:$G$167,4,FALSE)),"")</f>
        <v/>
      </c>
      <c r="O521" s="301" t="str">
        <f>IF(AND('PT Fee'!G215&lt;&gt;0,'PT Fee'!G215&lt;&gt;""),VLOOKUP('Fee Summary'!A211,'PT Fee'!$A$18:$G$167,6,FALSE),"")</f>
        <v/>
      </c>
    </row>
    <row r="522" spans="11:15" hidden="1" x14ac:dyDescent="0.25">
      <c r="K522" s="301" t="str">
        <f>IF(ISERROR(RANK(L522,$L$23:$L$473,1)+COUNTIF($L$23:L522,L522)-1)=TRUE,"",RANK(L522,$L$23:$L$473,1)+COUNTIF($L$23:L522,L522)-1)</f>
        <v/>
      </c>
      <c r="N522" s="301" t="str">
        <f>IF(AND('PT Fee'!E216="Yes"),CONCATENATE(VLOOKUP('Fee Summary'!A212,'PT Fee'!$A$18:$G$167,3,FALSE)," - ",VLOOKUP('Fee Summary'!A212,'PT Fee'!$A$18:$G$167,4,FALSE)),"")</f>
        <v/>
      </c>
    </row>
    <row r="523" spans="11:15" hidden="1" x14ac:dyDescent="0.25">
      <c r="K523" s="301" t="str">
        <f>IF(ISERROR(RANK(L523,$L$23:$L$473,1)+COUNTIF($L$23:L523,L523)-1)=TRUE,"",RANK(L523,$L$23:$L$473,1)+COUNTIF($L$23:L523,L523)-1)</f>
        <v/>
      </c>
      <c r="N523" s="301" t="str">
        <f>IF(AND('PT Fee'!E217="Yes"),CONCATENATE(VLOOKUP('Fee Summary'!A213,'PT Fee'!$A$18:$G$167,3,FALSE)," - ",VLOOKUP('Fee Summary'!A213,'PT Fee'!$A$18:$G$167,4,FALSE)),"")</f>
        <v/>
      </c>
    </row>
    <row r="524" spans="11:15" hidden="1" x14ac:dyDescent="0.25">
      <c r="K524" s="301" t="str">
        <f>IF(ISERROR(RANK(L524,$L$23:$L$473,1)+COUNTIF($L$23:L524,L524)-1)=TRUE,"",RANK(L524,$L$23:$L$473,1)+COUNTIF($L$23:L524,L524)-1)</f>
        <v/>
      </c>
      <c r="N524" s="301" t="str">
        <f>IF(AND('PT Fee'!E218="Yes"),CONCATENATE(VLOOKUP('Fee Summary'!A214,'PT Fee'!$A$18:$G$167,3,FALSE)," - ",VLOOKUP('Fee Summary'!A214,'PT Fee'!$A$18:$G$167,4,FALSE)),"")</f>
        <v/>
      </c>
    </row>
    <row r="525" spans="11:15" hidden="1" x14ac:dyDescent="0.25">
      <c r="K525" s="301" t="str">
        <f>IF(ISERROR(RANK(L525,$L$23:$L$473,1)+COUNTIF($L$23:L525,L525)-1)=TRUE,"",RANK(L525,$L$23:$L$473,1)+COUNTIF($L$23:L525,L525)-1)</f>
        <v/>
      </c>
      <c r="N525" s="301" t="str">
        <f>IF(AND('PT Fee'!E219="Yes"),CONCATENATE(VLOOKUP('Fee Summary'!A215,'PT Fee'!$A$18:$G$167,3,FALSE)," - ",VLOOKUP('Fee Summary'!A215,'PT Fee'!$A$18:$G$167,4,FALSE)),"")</f>
        <v/>
      </c>
    </row>
    <row r="526" spans="11:15" hidden="1" x14ac:dyDescent="0.25">
      <c r="K526" s="301" t="str">
        <f>IF(ISERROR(RANK(L526,$L$23:$L$473,1)+COUNTIF($L$23:L526,L526)-1)=TRUE,"",RANK(L526,$L$23:$L$473,1)+COUNTIF($L$23:L526,L526)-1)</f>
        <v/>
      </c>
      <c r="N526" s="301" t="str">
        <f>IF(AND('PT Fee'!E220="Yes"),CONCATENATE(VLOOKUP('Fee Summary'!A216,'PT Fee'!$A$18:$G$167,3,FALSE)," - ",VLOOKUP('Fee Summary'!A216,'PT Fee'!$A$18:$G$167,4,FALSE)),"")</f>
        <v/>
      </c>
    </row>
    <row r="527" spans="11:15" hidden="1" x14ac:dyDescent="0.25">
      <c r="K527" s="301" t="str">
        <f>IF(ISERROR(RANK(L527,$L$23:$L$473,1)+COUNTIF($L$23:L527,L527)-1)=TRUE,"",RANK(L527,$L$23:$L$473,1)+COUNTIF($L$23:L527,L527)-1)</f>
        <v/>
      </c>
      <c r="N527" s="301" t="str">
        <f>IF(AND('PT Fee'!E221="Yes"),CONCATENATE(VLOOKUP('Fee Summary'!A217,'PT Fee'!$A$18:$G$167,3,FALSE)," - ",VLOOKUP('Fee Summary'!A217,'PT Fee'!$A$18:$G$167,4,FALSE)),"")</f>
        <v/>
      </c>
    </row>
    <row r="528" spans="11:15" hidden="1" x14ac:dyDescent="0.25">
      <c r="K528" s="301" t="str">
        <f>IF(ISERROR(RANK(L528,$L$23:$L$473,1)+COUNTIF($L$23:L528,L528)-1)=TRUE,"",RANK(L528,$L$23:$L$473,1)+COUNTIF($L$23:L528,L528)-1)</f>
        <v/>
      </c>
      <c r="N528" s="301" t="str">
        <f>IF(AND('PT Fee'!E222="Yes"),CONCATENATE(VLOOKUP('Fee Summary'!A218,'PT Fee'!$A$18:$G$167,3,FALSE)," - ",VLOOKUP('Fee Summary'!A218,'PT Fee'!$A$18:$G$167,4,FALSE)),"")</f>
        <v/>
      </c>
    </row>
    <row r="529" spans="11:14" hidden="1" x14ac:dyDescent="0.25">
      <c r="K529" s="301" t="str">
        <f>IF(ISERROR(RANK(L529,$L$23:$L$473,1)+COUNTIF($L$23:L529,L529)-1)=TRUE,"",RANK(L529,$L$23:$L$473,1)+COUNTIF($L$23:L529,L529)-1)</f>
        <v/>
      </c>
      <c r="N529" s="301" t="str">
        <f>IF(AND('PT Fee'!E223="Yes"),CONCATENATE(VLOOKUP('Fee Summary'!A219,'PT Fee'!$A$18:$G$167,3,FALSE)," - ",VLOOKUP('Fee Summary'!A219,'PT Fee'!$A$18:$G$167,4,FALSE)),"")</f>
        <v/>
      </c>
    </row>
    <row r="530" spans="11:14" hidden="1" x14ac:dyDescent="0.25">
      <c r="K530" s="301" t="str">
        <f>IF(ISERROR(RANK(L530,$L$23:$L$473,1)+COUNTIF($L$23:L530,L530)-1)=TRUE,"",RANK(L530,$L$23:$L$473,1)+COUNTIF($L$23:L530,L530)-1)</f>
        <v/>
      </c>
      <c r="N530" s="301" t="str">
        <f>IF(AND('PT Fee'!E224="Yes"),CONCATENATE(VLOOKUP('Fee Summary'!A220,'PT Fee'!$A$18:$G$167,3,FALSE)," - ",VLOOKUP('Fee Summary'!A220,'PT Fee'!$A$18:$G$167,4,FALSE)),"")</f>
        <v/>
      </c>
    </row>
    <row r="531" spans="11:14" hidden="1" x14ac:dyDescent="0.25">
      <c r="K531" s="301" t="str">
        <f>IF(ISERROR(RANK(L531,$L$23:$L$473,1)+COUNTIF($L$23:L531,L531)-1)=TRUE,"",RANK(L531,$L$23:$L$473,1)+COUNTIF($L$23:L531,L531)-1)</f>
        <v/>
      </c>
      <c r="N531" s="301" t="str">
        <f>IF(AND('PT Fee'!E225="Yes"),CONCATENATE(VLOOKUP('Fee Summary'!A221,'PT Fee'!$A$18:$G$167,3,FALSE)," - ",VLOOKUP('Fee Summary'!A221,'PT Fee'!$A$18:$G$167,4,FALSE)),"")</f>
        <v/>
      </c>
    </row>
    <row r="532" spans="11:14" hidden="1" x14ac:dyDescent="0.25">
      <c r="N532" s="301" t="str">
        <f>IF(AND('PT Fee'!E226="Yes"),CONCATENATE(VLOOKUP('Fee Summary'!A222,'PT Fee'!$A$18:$G$167,3,FALSE)," - ",VLOOKUP('Fee Summary'!A222,'PT Fee'!$A$18:$G$167,4,FALSE)),"")</f>
        <v/>
      </c>
    </row>
    <row r="533" spans="11:14" hidden="1" x14ac:dyDescent="0.25">
      <c r="N533" s="301" t="str">
        <f>IF(AND('PT Fee'!E227="Yes"),CONCATENATE(VLOOKUP('Fee Summary'!A223,'PT Fee'!$A$18:$G$167,3,FALSE)," - ",VLOOKUP('Fee Summary'!A223,'PT Fee'!$A$18:$G$167,4,FALSE)),"")</f>
        <v/>
      </c>
    </row>
    <row r="534" spans="11:14" hidden="1" x14ac:dyDescent="0.25">
      <c r="N534" s="301" t="str">
        <f>IF(AND('PT Fee'!E228="Yes"),CONCATENATE(VLOOKUP('Fee Summary'!A224,'PT Fee'!$A$18:$G$167,3,FALSE)," - ",VLOOKUP('Fee Summary'!A224,'PT Fee'!$A$18:$G$167,4,FALSE)),"")</f>
        <v/>
      </c>
    </row>
    <row r="535" spans="11:14" hidden="1" x14ac:dyDescent="0.25">
      <c r="N535" s="301" t="str">
        <f>IF(AND('PT Fee'!E229="Yes"),CONCATENATE(VLOOKUP('Fee Summary'!A225,'PT Fee'!$A$18:$G$167,3,FALSE)," - ",VLOOKUP('Fee Summary'!A225,'PT Fee'!$A$18:$G$167,4,FALSE)),"")</f>
        <v/>
      </c>
    </row>
    <row r="536" spans="11:14" hidden="1" x14ac:dyDescent="0.25">
      <c r="N536" s="301" t="str">
        <f>IF(AND('PT Fee'!E230="Yes"),CONCATENATE(VLOOKUP('Fee Summary'!A226,'PT Fee'!$A$18:$G$167,3,FALSE)," - ",VLOOKUP('Fee Summary'!A226,'PT Fee'!$A$18:$G$167,4,FALSE)),"")</f>
        <v/>
      </c>
    </row>
    <row r="537" spans="11:14" hidden="1" x14ac:dyDescent="0.25">
      <c r="N537" s="301" t="str">
        <f>IF(AND('PT Fee'!E231="Yes"),CONCATENATE(VLOOKUP('Fee Summary'!A227,'PT Fee'!$A$18:$G$167,3,FALSE)," - ",VLOOKUP('Fee Summary'!A227,'PT Fee'!$A$18:$G$167,4,FALSE)),"")</f>
        <v/>
      </c>
    </row>
    <row r="538" spans="11:14" hidden="1" x14ac:dyDescent="0.25">
      <c r="N538" s="301" t="str">
        <f>IF(AND('PT Fee'!E232="Yes"),CONCATENATE(VLOOKUP('Fee Summary'!A228,'PT Fee'!$A$18:$G$167,3,FALSE)," - ",VLOOKUP('Fee Summary'!A228,'PT Fee'!$A$18:$G$167,4,FALSE)),"")</f>
        <v/>
      </c>
    </row>
    <row r="539" spans="11:14" hidden="1" x14ac:dyDescent="0.25">
      <c r="N539" s="301" t="str">
        <f>IF(AND('PT Fee'!E233="Yes"),CONCATENATE(VLOOKUP('Fee Summary'!A229,'PT Fee'!$A$18:$G$167,3,FALSE)," - ",VLOOKUP('Fee Summary'!A229,'PT Fee'!$A$18:$G$167,4,FALSE)),"")</f>
        <v/>
      </c>
    </row>
    <row r="540" spans="11:14" hidden="1" x14ac:dyDescent="0.25">
      <c r="N540" s="301" t="str">
        <f>IF(AND('PT Fee'!E234="Yes"),CONCATENATE(VLOOKUP('Fee Summary'!A230,'PT Fee'!$A$18:$G$167,3,FALSE)," - ",VLOOKUP('Fee Summary'!A230,'PT Fee'!$A$18:$G$167,4,FALSE)),"")</f>
        <v/>
      </c>
    </row>
    <row r="541" spans="11:14" hidden="1" x14ac:dyDescent="0.25">
      <c r="N541" s="301" t="str">
        <f>IF(AND('PT Fee'!E235="Yes"),CONCATENATE(VLOOKUP('Fee Summary'!A231,'PT Fee'!$A$18:$G$167,3,FALSE)," - ",VLOOKUP('Fee Summary'!A231,'PT Fee'!$A$18:$G$167,4,FALSE)),"")</f>
        <v/>
      </c>
    </row>
    <row r="542" spans="11:14" hidden="1" x14ac:dyDescent="0.25">
      <c r="N542" s="301" t="str">
        <f>IF(AND('PT Fee'!E236="Yes"),CONCATENATE(VLOOKUP('Fee Summary'!A232,'PT Fee'!$A$18:$G$167,3,FALSE)," - ",VLOOKUP('Fee Summary'!A232,'PT Fee'!$A$18:$G$167,4,FALSE)),"")</f>
        <v/>
      </c>
    </row>
    <row r="543" spans="11:14" hidden="1" x14ac:dyDescent="0.25">
      <c r="N543" s="301" t="str">
        <f>IF(AND('PT Fee'!E237="Yes"),CONCATENATE(VLOOKUP('Fee Summary'!A233,'PT Fee'!$A$18:$G$167,3,FALSE)," - ",VLOOKUP('Fee Summary'!A233,'PT Fee'!$A$18:$G$167,4,FALSE)),"")</f>
        <v/>
      </c>
    </row>
    <row r="544" spans="11:14" hidden="1" x14ac:dyDescent="0.25">
      <c r="N544" s="301" t="str">
        <f>IF(AND('PT Fee'!E238="Yes"),CONCATENATE(VLOOKUP('Fee Summary'!A234,'PT Fee'!$A$18:$G$167,3,FALSE)," - ",VLOOKUP('Fee Summary'!A234,'PT Fee'!$A$18:$G$167,4,FALSE)),"")</f>
        <v/>
      </c>
    </row>
    <row r="545" spans="14:14" hidden="1" x14ac:dyDescent="0.25">
      <c r="N545" s="301" t="str">
        <f>IF(AND('PT Fee'!E239="Yes"),CONCATENATE(VLOOKUP('Fee Summary'!A235,'PT Fee'!$A$18:$G$167,3,FALSE)," - ",VLOOKUP('Fee Summary'!A235,'PT Fee'!$A$18:$G$167,4,FALSE)),"")</f>
        <v/>
      </c>
    </row>
    <row r="546" spans="14:14" hidden="1" x14ac:dyDescent="0.25">
      <c r="N546" s="301" t="str">
        <f>IF(AND('PT Fee'!E240="Yes"),CONCATENATE(VLOOKUP('Fee Summary'!A236,'PT Fee'!$A$18:$G$167,3,FALSE)," - ",VLOOKUP('Fee Summary'!A236,'PT Fee'!$A$18:$G$167,4,FALSE)),"")</f>
        <v/>
      </c>
    </row>
    <row r="547" spans="14:14" hidden="1" x14ac:dyDescent="0.25">
      <c r="N547" s="301" t="str">
        <f>IF(AND('PT Fee'!E241="Yes"),CONCATENATE(VLOOKUP('Fee Summary'!A237,'PT Fee'!$A$18:$G$167,3,FALSE)," - ",VLOOKUP('Fee Summary'!A237,'PT Fee'!$A$18:$G$167,4,FALSE)),"")</f>
        <v/>
      </c>
    </row>
    <row r="548" spans="14:14" hidden="1" x14ac:dyDescent="0.25">
      <c r="N548" s="301" t="str">
        <f>IF(AND('PT Fee'!E242="Yes"),CONCATENATE(VLOOKUP('Fee Summary'!A238,'PT Fee'!$A$18:$G$167,3,FALSE)," - ",VLOOKUP('Fee Summary'!A238,'PT Fee'!$A$18:$G$167,4,FALSE)),"")</f>
        <v/>
      </c>
    </row>
    <row r="549" spans="14:14" hidden="1" x14ac:dyDescent="0.25">
      <c r="N549" s="301" t="str">
        <f>IF(AND('PT Fee'!E243="Yes"),CONCATENATE(VLOOKUP('Fee Summary'!A239,'PT Fee'!$A$18:$G$167,3,FALSE)," - ",VLOOKUP('Fee Summary'!A239,'PT Fee'!$A$18:$G$167,4,FALSE)),"")</f>
        <v/>
      </c>
    </row>
    <row r="550" spans="14:14" hidden="1" x14ac:dyDescent="0.25">
      <c r="N550" s="301" t="str">
        <f>IF(AND('PT Fee'!E244="Yes"),CONCATENATE(VLOOKUP('Fee Summary'!A240,'PT Fee'!$A$18:$G$167,3,FALSE)," - ",VLOOKUP('Fee Summary'!A240,'PT Fee'!$A$18:$G$167,4,FALSE)),"")</f>
        <v/>
      </c>
    </row>
    <row r="551" spans="14:14" hidden="1" x14ac:dyDescent="0.25">
      <c r="N551" s="301" t="str">
        <f>IF(AND('PT Fee'!E245="Yes"),CONCATENATE(VLOOKUP('Fee Summary'!A241,'PT Fee'!$A$18:$G$167,3,FALSE)," - ",VLOOKUP('Fee Summary'!A241,'PT Fee'!$A$18:$G$167,4,FALSE)),"")</f>
        <v/>
      </c>
    </row>
    <row r="552" spans="14:14" hidden="1" x14ac:dyDescent="0.25">
      <c r="N552" s="301" t="str">
        <f>IF(AND('PT Fee'!E246="Yes"),CONCATENATE(VLOOKUP('Fee Summary'!A242,'PT Fee'!$A$18:$G$167,3,FALSE)," - ",VLOOKUP('Fee Summary'!A242,'PT Fee'!$A$18:$G$167,4,FALSE)),"")</f>
        <v/>
      </c>
    </row>
    <row r="553" spans="14:14" hidden="1" x14ac:dyDescent="0.25">
      <c r="N553" s="301" t="str">
        <f>IF(AND('PT Fee'!E247="Yes"),CONCATENATE(VLOOKUP('Fee Summary'!A243,'PT Fee'!$A$18:$G$167,3,FALSE)," - ",VLOOKUP('Fee Summary'!A243,'PT Fee'!$A$18:$G$167,4,FALSE)),"")</f>
        <v/>
      </c>
    </row>
    <row r="554" spans="14:14" hidden="1" x14ac:dyDescent="0.25">
      <c r="N554" s="301" t="str">
        <f>IF(AND('PT Fee'!E248="Yes"),CONCATENATE(VLOOKUP('Fee Summary'!A244,'PT Fee'!$A$18:$G$167,3,FALSE)," - ",VLOOKUP('Fee Summary'!A244,'PT Fee'!$A$18:$G$167,4,FALSE)),"")</f>
        <v/>
      </c>
    </row>
    <row r="555" spans="14:14" hidden="1" x14ac:dyDescent="0.25">
      <c r="N555" s="301" t="str">
        <f>IF(AND('PT Fee'!E249="Yes"),CONCATENATE(VLOOKUP('Fee Summary'!A245,'PT Fee'!$A$18:$G$167,3,FALSE)," - ",VLOOKUP('Fee Summary'!A245,'PT Fee'!$A$18:$G$167,4,FALSE)),"")</f>
        <v/>
      </c>
    </row>
    <row r="556" spans="14:14" hidden="1" x14ac:dyDescent="0.25">
      <c r="N556" s="301" t="str">
        <f>IF(AND('PT Fee'!E250="Yes"),CONCATENATE(VLOOKUP('Fee Summary'!A246,'PT Fee'!$A$18:$G$167,3,FALSE)," - ",VLOOKUP('Fee Summary'!A246,'PT Fee'!$A$18:$G$167,4,FALSE)),"")</f>
        <v/>
      </c>
    </row>
    <row r="557" spans="14:14" hidden="1" x14ac:dyDescent="0.25">
      <c r="N557" s="301" t="str">
        <f>IF(AND('PT Fee'!E251="Yes"),CONCATENATE(VLOOKUP('Fee Summary'!A247,'PT Fee'!$A$18:$G$167,3,FALSE)," - ",VLOOKUP('Fee Summary'!A247,'PT Fee'!$A$18:$G$167,4,FALSE)),"")</f>
        <v/>
      </c>
    </row>
    <row r="558" spans="14:14" hidden="1" x14ac:dyDescent="0.25">
      <c r="N558" s="301" t="str">
        <f>IF(AND('PT Fee'!E252="Yes"),CONCATENATE(VLOOKUP('Fee Summary'!A248,'PT Fee'!$A$18:$G$167,3,FALSE)," - ",VLOOKUP('Fee Summary'!A248,'PT Fee'!$A$18:$G$167,4,FALSE)),"")</f>
        <v/>
      </c>
    </row>
    <row r="559" spans="14:14" hidden="1" x14ac:dyDescent="0.25">
      <c r="N559" s="301" t="str">
        <f>IF(AND('PT Fee'!E253="Yes"),CONCATENATE(VLOOKUP('Fee Summary'!A249,'PT Fee'!$A$18:$G$167,3,FALSE)," - ",VLOOKUP('Fee Summary'!A249,'PT Fee'!$A$18:$G$167,4,FALSE)),"")</f>
        <v/>
      </c>
    </row>
    <row r="560" spans="14:14" hidden="1" x14ac:dyDescent="0.25">
      <c r="N560" s="301" t="str">
        <f>IF(AND('PT Fee'!E254="Yes"),CONCATENATE(VLOOKUP('Fee Summary'!A250,'PT Fee'!$A$18:$G$167,3,FALSE)," - ",VLOOKUP('Fee Summary'!A250,'PT Fee'!$A$18:$G$167,4,FALSE)),"")</f>
        <v/>
      </c>
    </row>
    <row r="561" spans="14:14" hidden="1" x14ac:dyDescent="0.25">
      <c r="N561" s="301" t="str">
        <f>IF(AND('PT Fee'!E255="Yes"),CONCATENATE(VLOOKUP('Fee Summary'!A251,'PT Fee'!$A$18:$G$167,3,FALSE)," - ",VLOOKUP('Fee Summary'!A251,'PT Fee'!$A$18:$G$167,4,FALSE)),"")</f>
        <v/>
      </c>
    </row>
    <row r="562" spans="14:14" hidden="1" x14ac:dyDescent="0.25">
      <c r="N562" s="301" t="str">
        <f>IF(AND('PT Fee'!E256="Yes"),CONCATENATE(VLOOKUP('Fee Summary'!A252,'PT Fee'!$A$18:$G$167,3,FALSE)," - ",VLOOKUP('Fee Summary'!A252,'PT Fee'!$A$18:$G$167,4,FALSE)),"")</f>
        <v/>
      </c>
    </row>
    <row r="563" spans="14:14" hidden="1" x14ac:dyDescent="0.25">
      <c r="N563" s="301" t="str">
        <f>IF(AND('PT Fee'!E257="Yes"),CONCATENATE(VLOOKUP('Fee Summary'!A253,'PT Fee'!$A$18:$G$167,3,FALSE)," - ",VLOOKUP('Fee Summary'!A253,'PT Fee'!$A$18:$G$167,4,FALSE)),"")</f>
        <v/>
      </c>
    </row>
    <row r="564" spans="14:14" hidden="1" x14ac:dyDescent="0.25">
      <c r="N564" s="301" t="str">
        <f>IF(AND('PT Fee'!E258="Yes"),CONCATENATE(VLOOKUP('Fee Summary'!A254,'PT Fee'!$A$18:$G$167,3,FALSE)," - ",VLOOKUP('Fee Summary'!A254,'PT Fee'!$A$18:$G$167,4,FALSE)),"")</f>
        <v/>
      </c>
    </row>
    <row r="565" spans="14:14" hidden="1" x14ac:dyDescent="0.25">
      <c r="N565" s="301" t="str">
        <f>IF(AND('PT Fee'!E259="Yes"),CONCATENATE(VLOOKUP('Fee Summary'!A255,'PT Fee'!$A$18:$G$167,3,FALSE)," - ",VLOOKUP('Fee Summary'!A255,'PT Fee'!$A$18:$G$167,4,FALSE)),"")</f>
        <v/>
      </c>
    </row>
    <row r="566" spans="14:14" hidden="1" x14ac:dyDescent="0.25">
      <c r="N566" s="301" t="str">
        <f>IF(AND('PT Fee'!E260="Yes"),CONCATENATE(VLOOKUP('Fee Summary'!A256,'PT Fee'!$A$18:$G$167,3,FALSE)," - ",VLOOKUP('Fee Summary'!A256,'PT Fee'!$A$18:$G$167,4,FALSE)),"")</f>
        <v/>
      </c>
    </row>
    <row r="567" spans="14:14" hidden="1" x14ac:dyDescent="0.25">
      <c r="N567" s="301" t="str">
        <f>IF(AND('PT Fee'!E261="Yes"),CONCATENATE(VLOOKUP('Fee Summary'!A257,'PT Fee'!$A$18:$G$167,3,FALSE)," - ",VLOOKUP('Fee Summary'!A257,'PT Fee'!$A$18:$G$167,4,FALSE)),"")</f>
        <v/>
      </c>
    </row>
    <row r="568" spans="14:14" hidden="1" x14ac:dyDescent="0.25">
      <c r="N568" s="301" t="str">
        <f>IF(AND('PT Fee'!E262="Yes"),CONCATENATE(VLOOKUP('Fee Summary'!A258,'PT Fee'!$A$18:$G$167,3,FALSE)," - ",VLOOKUP('Fee Summary'!A258,'PT Fee'!$A$18:$G$167,4,FALSE)),"")</f>
        <v/>
      </c>
    </row>
    <row r="569" spans="14:14" hidden="1" x14ac:dyDescent="0.25">
      <c r="N569" s="301" t="str">
        <f>IF(AND('PT Fee'!E263="Yes"),CONCATENATE(VLOOKUP('Fee Summary'!A259,'PT Fee'!$A$18:$G$167,3,FALSE)," - ",VLOOKUP('Fee Summary'!A259,'PT Fee'!$A$18:$G$167,4,FALSE)),"")</f>
        <v/>
      </c>
    </row>
    <row r="570" spans="14:14" hidden="1" x14ac:dyDescent="0.25">
      <c r="N570" s="301" t="str">
        <f>IF(AND('PT Fee'!E264="Yes"),CONCATENATE(VLOOKUP('Fee Summary'!A260,'PT Fee'!$A$18:$G$167,3,FALSE)," - ",VLOOKUP('Fee Summary'!A260,'PT Fee'!$A$18:$G$167,4,FALSE)),"")</f>
        <v/>
      </c>
    </row>
    <row r="571" spans="14:14" hidden="1" x14ac:dyDescent="0.25">
      <c r="N571" s="301" t="str">
        <f>IF(AND('PT Fee'!E265="Yes"),CONCATENATE(VLOOKUP('Fee Summary'!A261,'PT Fee'!$A$18:$G$167,3,FALSE)," - ",VLOOKUP('Fee Summary'!A261,'PT Fee'!$A$18:$G$167,4,FALSE)),"")</f>
        <v/>
      </c>
    </row>
    <row r="572" spans="14:14" hidden="1" x14ac:dyDescent="0.25">
      <c r="N572" s="301" t="str">
        <f>IF(AND('PT Fee'!E266="Yes"),CONCATENATE(VLOOKUP('Fee Summary'!A262,'PT Fee'!$A$18:$G$167,3,FALSE)," - ",VLOOKUP('Fee Summary'!A262,'PT Fee'!$A$18:$G$167,4,FALSE)),"")</f>
        <v/>
      </c>
    </row>
    <row r="573" spans="14:14" hidden="1" x14ac:dyDescent="0.25">
      <c r="N573" s="301" t="str">
        <f>IF(AND('PT Fee'!E267="Yes"),CONCATENATE(VLOOKUP('Fee Summary'!A263,'PT Fee'!$A$18:$G$167,3,FALSE)," - ",VLOOKUP('Fee Summary'!A263,'PT Fee'!$A$18:$G$167,4,FALSE)),"")</f>
        <v/>
      </c>
    </row>
    <row r="574" spans="14:14" hidden="1" x14ac:dyDescent="0.25">
      <c r="N574" s="301" t="str">
        <f>IF(AND('PT Fee'!E268="Yes"),CONCATENATE(VLOOKUP('Fee Summary'!A264,'PT Fee'!$A$18:$G$167,3,FALSE)," - ",VLOOKUP('Fee Summary'!A264,'PT Fee'!$A$18:$G$167,4,FALSE)),"")</f>
        <v/>
      </c>
    </row>
    <row r="575" spans="14:14" hidden="1" x14ac:dyDescent="0.25">
      <c r="N575" s="301" t="str">
        <f>IF(AND('PT Fee'!E269="Yes"),CONCATENATE(VLOOKUP('Fee Summary'!A265,'PT Fee'!$A$18:$G$167,3,FALSE)," - ",VLOOKUP('Fee Summary'!A265,'PT Fee'!$A$18:$G$167,4,FALSE)),"")</f>
        <v/>
      </c>
    </row>
    <row r="576" spans="14:14" hidden="1" x14ac:dyDescent="0.25">
      <c r="N576" s="301" t="str">
        <f>IF(AND('PT Fee'!E270="Yes"),CONCATENATE(VLOOKUP('Fee Summary'!A266,'PT Fee'!$A$18:$G$167,3,FALSE)," - ",VLOOKUP('Fee Summary'!A266,'PT Fee'!$A$18:$G$167,4,FALSE)),"")</f>
        <v/>
      </c>
    </row>
    <row r="577" spans="14:14" hidden="1" x14ac:dyDescent="0.25">
      <c r="N577" s="301" t="str">
        <f>IF(AND('PT Fee'!E271="Yes"),CONCATENATE(VLOOKUP('Fee Summary'!A267,'PT Fee'!$A$18:$G$167,3,FALSE)," - ",VLOOKUP('Fee Summary'!A267,'PT Fee'!$A$18:$G$167,4,FALSE)),"")</f>
        <v/>
      </c>
    </row>
    <row r="578" spans="14:14" hidden="1" x14ac:dyDescent="0.25">
      <c r="N578" s="301" t="str">
        <f>IF(AND('PT Fee'!E272="Yes"),CONCATENATE(VLOOKUP('Fee Summary'!A268,'PT Fee'!$A$18:$G$167,3,FALSE)," - ",VLOOKUP('Fee Summary'!A268,'PT Fee'!$A$18:$G$167,4,FALSE)),"")</f>
        <v/>
      </c>
    </row>
    <row r="579" spans="14:14" hidden="1" x14ac:dyDescent="0.25">
      <c r="N579" s="301" t="str">
        <f>IF(AND('PT Fee'!E273="Yes"),CONCATENATE(VLOOKUP('Fee Summary'!A269,'PT Fee'!$A$18:$G$167,3,FALSE)," - ",VLOOKUP('Fee Summary'!A269,'PT Fee'!$A$18:$G$167,4,FALSE)),"")</f>
        <v/>
      </c>
    </row>
    <row r="580" spans="14:14" hidden="1" x14ac:dyDescent="0.25">
      <c r="N580" s="301" t="str">
        <f>IF(AND('PT Fee'!E274="Yes"),CONCATENATE(VLOOKUP('Fee Summary'!A270,'PT Fee'!$A$18:$G$167,3,FALSE)," - ",VLOOKUP('Fee Summary'!A270,'PT Fee'!$A$18:$G$167,4,FALSE)),"")</f>
        <v/>
      </c>
    </row>
    <row r="581" spans="14:14" hidden="1" x14ac:dyDescent="0.25">
      <c r="N581" s="301" t="str">
        <f>IF(AND('PT Fee'!E275="Yes"),CONCATENATE(VLOOKUP('Fee Summary'!A271,'PT Fee'!$A$18:$G$167,3,FALSE)," - ",VLOOKUP('Fee Summary'!A271,'PT Fee'!$A$18:$G$167,4,FALSE)),"")</f>
        <v/>
      </c>
    </row>
    <row r="582" spans="14:14" hidden="1" x14ac:dyDescent="0.25">
      <c r="N582" s="301" t="str">
        <f>IF(AND('PT Fee'!E276="Yes"),CONCATENATE(VLOOKUP('Fee Summary'!A272,'PT Fee'!$A$18:$G$167,3,FALSE)," - ",VLOOKUP('Fee Summary'!A272,'PT Fee'!$A$18:$G$167,4,FALSE)),"")</f>
        <v/>
      </c>
    </row>
    <row r="583" spans="14:14" hidden="1" x14ac:dyDescent="0.25">
      <c r="N583" s="301" t="str">
        <f>IF(AND('PT Fee'!E277="Yes"),CONCATENATE(VLOOKUP('Fee Summary'!A273,'PT Fee'!$A$18:$G$167,3,FALSE)," - ",VLOOKUP('Fee Summary'!A273,'PT Fee'!$A$18:$G$167,4,FALSE)),"")</f>
        <v/>
      </c>
    </row>
    <row r="584" spans="14:14" hidden="1" x14ac:dyDescent="0.25">
      <c r="N584" s="301" t="str">
        <f>IF(AND('PT Fee'!E278="Yes"),CONCATENATE(VLOOKUP('Fee Summary'!A274,'PT Fee'!$A$18:$G$167,3,FALSE)," - ",VLOOKUP('Fee Summary'!A274,'PT Fee'!$A$18:$G$167,4,FALSE)),"")</f>
        <v/>
      </c>
    </row>
    <row r="585" spans="14:14" hidden="1" x14ac:dyDescent="0.25">
      <c r="N585" s="301" t="str">
        <f>IF(AND('PT Fee'!E279="Yes"),CONCATENATE(VLOOKUP('Fee Summary'!A275,'PT Fee'!$A$18:$G$167,3,FALSE)," - ",VLOOKUP('Fee Summary'!A275,'PT Fee'!$A$18:$G$167,4,FALSE)),"")</f>
        <v/>
      </c>
    </row>
    <row r="586" spans="14:14" hidden="1" x14ac:dyDescent="0.25">
      <c r="N586" s="301" t="str">
        <f>IF(AND('PT Fee'!E280="Yes"),CONCATENATE(VLOOKUP('Fee Summary'!A276,'PT Fee'!$A$18:$G$167,3,FALSE)," - ",VLOOKUP('Fee Summary'!A276,'PT Fee'!$A$18:$G$167,4,FALSE)),"")</f>
        <v/>
      </c>
    </row>
    <row r="587" spans="14:14" hidden="1" x14ac:dyDescent="0.25">
      <c r="N587" s="301" t="str">
        <f>IF(AND('PT Fee'!E281="Yes"),CONCATENATE(VLOOKUP('Fee Summary'!A277,'PT Fee'!$A$18:$G$167,3,FALSE)," - ",VLOOKUP('Fee Summary'!A277,'PT Fee'!$A$18:$G$167,4,FALSE)),"")</f>
        <v/>
      </c>
    </row>
    <row r="588" spans="14:14" hidden="1" x14ac:dyDescent="0.25">
      <c r="N588" s="301" t="str">
        <f>IF(AND('PT Fee'!E282="Yes"),CONCATENATE(VLOOKUP('Fee Summary'!A278,'PT Fee'!$A$18:$G$167,3,FALSE)," - ",VLOOKUP('Fee Summary'!A278,'PT Fee'!$A$18:$G$167,4,FALSE)),"")</f>
        <v/>
      </c>
    </row>
  </sheetData>
  <sheetProtection password="9A3D" sheet="1" objects="1" scenarios="1"/>
  <mergeCells count="12">
    <mergeCell ref="B8:D8"/>
    <mergeCell ref="B11:D11"/>
    <mergeCell ref="B12:D12"/>
    <mergeCell ref="B13:D13"/>
    <mergeCell ref="B1:D1"/>
    <mergeCell ref="B3:D3"/>
    <mergeCell ref="B4:D4"/>
    <mergeCell ref="B5:D5"/>
    <mergeCell ref="B7:D7"/>
    <mergeCell ref="A6:D6"/>
    <mergeCell ref="A2:D2"/>
    <mergeCell ref="A9:D9"/>
  </mergeCells>
  <conditionalFormatting sqref="A14:A163">
    <cfRule type="expression" dxfId="35" priority="15">
      <formula>IF($B14="No course type selected.",TRUE,FALSE)</formula>
    </cfRule>
    <cfRule type="expression" dxfId="34" priority="16">
      <formula>IF(AND(COUNTBLANK(B165:D165)=14,COUNTBLANK(B14:D14)&lt;&gt;14),TRUE,FALSE)</formula>
    </cfRule>
    <cfRule type="expression" dxfId="33" priority="17">
      <formula>IF(B165&lt;&gt;B14,TRUE,IF(#REF!&lt;&gt;#REF!,TRUE,IF(#REF!&lt;&gt;#REF!,TRUE,IF(#REF!&lt;&gt;#REF!,TRUE,IF(#REF!&lt;&gt;#REF!,TRUE,IF(#REF!&lt;&gt;#REF!,TRUE,IF(#REF!&lt;&gt;#REF!,TRUE,FALSE)))))))</formula>
    </cfRule>
  </conditionalFormatting>
  <conditionalFormatting sqref="B14:D163">
    <cfRule type="containsText" dxfId="32" priority="2" operator="containsText" text="Part-time course type:">
      <formula>NOT(ISERROR(SEARCH("Part-time course type:",B14)))</formula>
    </cfRule>
    <cfRule type="containsText" dxfId="31" priority="3" operator="containsText" text="Franchise full-time course type:">
      <formula>NOT(ISERROR(SEARCH("Franchise full-time course type:",B14)))</formula>
    </cfRule>
    <cfRule type="containsText" dxfId="30" priority="4" operator="containsText" text="Full-time course type:">
      <formula>NOT(ISERROR(SEARCH("Full-time course type:",B14)))</formula>
    </cfRule>
    <cfRule type="containsText" dxfId="29" priority="5" operator="containsText" text="Additional information:">
      <formula>NOT(ISERROR(SEARCH("Additional information:",B14)))</formula>
    </cfRule>
    <cfRule type="containsText" dxfId="28" priority="9" operator="containsText" text="Course fee:">
      <formula>NOT(ISERROR(SEARCH("Course fee:",B14)))</formula>
    </cfRule>
    <cfRule type="containsText" dxfId="27" priority="12" operator="containsText" text="FT FEE Course type">
      <formula>NOT(ISERROR(SEARCH("FT FEE Course type",B14)))</formula>
    </cfRule>
    <cfRule type="expression" dxfId="26" priority="13">
      <formula>IF($B14="No course type selected on FT FEE sheet.",TRUE,FALSE)</formula>
    </cfRule>
  </conditionalFormatting>
  <conditionalFormatting sqref="C14:C163">
    <cfRule type="containsText" dxfId="25" priority="11" operator="containsText" text="Additional information for FT FEE">
      <formula>NOT(ISERROR(SEARCH("Additional information for FT FEE",C14)))</formula>
    </cfRule>
  </conditionalFormatting>
  <conditionalFormatting sqref="D14:D163">
    <cfRule type="containsText" dxfId="24" priority="10" operator="containsText" text="Course fee for FT FEE:">
      <formula>NOT(ISERROR(SEARCH("Course fee for FT FEE:",D14)))</formula>
    </cfRule>
  </conditionalFormatting>
  <conditionalFormatting sqref="B8">
    <cfRule type="expression" dxfId="23" priority="6">
      <formula>IF(G8="FAILED",TRUE,FALSE)</formula>
    </cfRule>
  </conditionalFormatting>
  <conditionalFormatting sqref="C15:C163">
    <cfRule type="expression" dxfId="22" priority="1">
      <formula>IF(C15=" - ",TRUE,FALSE)</formula>
    </cfRule>
  </conditionalFormatting>
  <dataValidations count="1">
    <dataValidation operator="greaterThanOrEqual" allowBlank="1" showInputMessage="1" showErrorMessage="1" sqref="C14:D163" xr:uid="{00000000-0002-0000-0400-000000000000}"/>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31"/>
  <sheetViews>
    <sheetView topLeftCell="A4" zoomScaleNormal="100" workbookViewId="0">
      <selection activeCell="D16" sqref="D16"/>
    </sheetView>
  </sheetViews>
  <sheetFormatPr defaultColWidth="0" defaultRowHeight="12.75" zeroHeight="1" x14ac:dyDescent="0.2"/>
  <cols>
    <col min="1" max="1" width="14.85546875" style="85" customWidth="1"/>
    <col min="2" max="2" width="12.28515625" style="85" customWidth="1"/>
    <col min="3" max="3" width="43" style="85" customWidth="1"/>
    <col min="4" max="4" width="21.5703125" style="85" customWidth="1"/>
    <col min="5" max="5" width="22.85546875" style="85" customWidth="1"/>
    <col min="6" max="6" width="21.7109375" style="85" customWidth="1"/>
    <col min="7" max="7" width="21" style="85" customWidth="1"/>
    <col min="8" max="9" width="9.140625" style="117" hidden="1" customWidth="1"/>
    <col min="10" max="10" width="13.85546875" style="85" hidden="1" customWidth="1"/>
    <col min="11" max="16384" width="9.140625" style="345" hidden="1"/>
  </cols>
  <sheetData>
    <row r="1" spans="1:10" ht="18" x14ac:dyDescent="0.2">
      <c r="A1" s="593" t="s">
        <v>447</v>
      </c>
      <c r="B1" s="594"/>
      <c r="C1" s="594"/>
      <c r="D1" s="594"/>
      <c r="E1" s="594"/>
      <c r="F1" s="594"/>
      <c r="G1" s="643"/>
      <c r="H1" s="713" t="s">
        <v>79</v>
      </c>
      <c r="I1" s="714"/>
    </row>
    <row r="2" spans="1:10" ht="15" x14ac:dyDescent="0.2">
      <c r="A2" s="646" t="str">
        <f>Contact!A2</f>
        <v>Institution name: Derby College</v>
      </c>
      <c r="B2" s="647"/>
      <c r="C2" s="647"/>
      <c r="D2" s="647"/>
      <c r="E2" s="647"/>
      <c r="F2" s="647"/>
      <c r="G2" s="86"/>
      <c r="H2" s="87"/>
      <c r="I2" s="88"/>
    </row>
    <row r="3" spans="1:10" ht="15" x14ac:dyDescent="0.2">
      <c r="A3" s="649" t="str">
        <f>Contact!A3</f>
        <v>Institution UKPRN: 10001919</v>
      </c>
      <c r="B3" s="650"/>
      <c r="C3" s="650"/>
      <c r="D3" s="650"/>
      <c r="E3" s="650"/>
      <c r="F3" s="650"/>
      <c r="G3" s="416"/>
      <c r="H3" s="87"/>
      <c r="I3" s="88"/>
    </row>
    <row r="4" spans="1:10" ht="15" x14ac:dyDescent="0.2">
      <c r="A4" s="601"/>
      <c r="B4" s="602"/>
      <c r="C4" s="602"/>
      <c r="D4" s="602"/>
      <c r="E4" s="602"/>
      <c r="F4" s="602"/>
      <c r="G4" s="637"/>
      <c r="H4" s="87"/>
      <c r="I4" s="88"/>
    </row>
    <row r="5" spans="1:10" s="342" customFormat="1" ht="15" x14ac:dyDescent="0.2">
      <c r="A5" s="652" t="s">
        <v>59</v>
      </c>
      <c r="B5" s="653"/>
      <c r="C5" s="653"/>
      <c r="D5" s="653"/>
      <c r="E5" s="653"/>
      <c r="F5" s="653"/>
      <c r="G5" s="654"/>
      <c r="H5" s="413"/>
      <c r="I5" s="414"/>
      <c r="J5" s="31" t="s">
        <v>35</v>
      </c>
    </row>
    <row r="6" spans="1:10" s="342" customFormat="1" ht="14.25" x14ac:dyDescent="0.2">
      <c r="A6" s="588" t="s">
        <v>543</v>
      </c>
      <c r="B6" s="589"/>
      <c r="C6" s="589"/>
      <c r="D6" s="589"/>
      <c r="E6" s="589"/>
      <c r="F6" s="589"/>
      <c r="G6" s="590"/>
      <c r="H6" s="413"/>
      <c r="I6" s="414"/>
      <c r="J6" s="33" t="str">
        <f>IF(OR(OR(AND(D18&gt;0,D25=0),AND(D18=0,D25&gt;0)),OR(AND(E18&gt;0,E25=0),AND(E18=0,E25&gt;0)),OR(AND(F18&gt;0,F25=0),AND(F18=0,F25&gt;0)),OR(AND(G18&gt;0,G25=0),AND(G18=0,G25&gt;0))),"FAILED","PASSED")</f>
        <v>PASSED</v>
      </c>
    </row>
    <row r="7" spans="1:10" s="342" customFormat="1" ht="14.25" x14ac:dyDescent="0.2">
      <c r="A7" s="588" t="s">
        <v>406</v>
      </c>
      <c r="B7" s="589"/>
      <c r="C7" s="589"/>
      <c r="D7" s="589"/>
      <c r="E7" s="589"/>
      <c r="F7" s="589"/>
      <c r="G7" s="590"/>
      <c r="H7" s="413"/>
      <c r="I7" s="414"/>
      <c r="J7" s="34" t="str">
        <f>IF(OR(D18&gt;D17,E18&gt;E17,F18&gt;F17,G18&gt;G17),"FAILED","PASSED")</f>
        <v>PASSED</v>
      </c>
    </row>
    <row r="8" spans="1:10" ht="15" x14ac:dyDescent="0.2">
      <c r="A8" s="718"/>
      <c r="B8" s="719"/>
      <c r="C8" s="719"/>
      <c r="D8" s="719"/>
      <c r="E8" s="719"/>
      <c r="F8" s="719"/>
      <c r="G8" s="720"/>
      <c r="H8" s="87"/>
      <c r="I8" s="88"/>
    </row>
    <row r="9" spans="1:10" ht="15" hidden="1" x14ac:dyDescent="0.2">
      <c r="A9" s="652" t="s">
        <v>60</v>
      </c>
      <c r="B9" s="653"/>
      <c r="C9" s="653"/>
      <c r="D9" s="653"/>
      <c r="E9" s="653"/>
      <c r="F9" s="653"/>
      <c r="G9" s="654"/>
      <c r="H9" s="87"/>
      <c r="I9" s="88"/>
    </row>
    <row r="10" spans="1:10" ht="14.25" hidden="1" x14ac:dyDescent="0.2">
      <c r="A10" s="715" t="s">
        <v>435</v>
      </c>
      <c r="B10" s="716"/>
      <c r="C10" s="716"/>
      <c r="D10" s="716"/>
      <c r="E10" s="716"/>
      <c r="F10" s="716"/>
      <c r="G10" s="717"/>
      <c r="H10" s="87"/>
      <c r="I10" s="88"/>
    </row>
    <row r="11" spans="1:10" hidden="1" x14ac:dyDescent="0.2">
      <c r="A11" s="93"/>
      <c r="B11" s="94"/>
      <c r="C11" s="94"/>
      <c r="D11" s="95"/>
      <c r="E11" s="94"/>
      <c r="F11" s="94"/>
      <c r="G11" s="96"/>
      <c r="H11" s="87"/>
      <c r="I11" s="88"/>
    </row>
    <row r="12" spans="1:10" s="346" customFormat="1" hidden="1" x14ac:dyDescent="0.2">
      <c r="A12" s="97"/>
      <c r="B12" s="98"/>
      <c r="C12" s="98"/>
      <c r="D12" s="420" t="s">
        <v>5</v>
      </c>
      <c r="E12" s="420" t="s">
        <v>6</v>
      </c>
      <c r="F12" s="420" t="s">
        <v>7</v>
      </c>
      <c r="G12" s="420" t="s">
        <v>405</v>
      </c>
      <c r="H12" s="413" t="s">
        <v>11</v>
      </c>
      <c r="I12" s="414" t="s">
        <v>0</v>
      </c>
      <c r="J12" s="99"/>
    </row>
    <row r="13" spans="1:10" ht="18.75" customHeight="1" x14ac:dyDescent="0.2">
      <c r="A13" s="692" t="s">
        <v>486</v>
      </c>
      <c r="B13" s="693"/>
      <c r="C13" s="694"/>
      <c r="D13" s="698" t="s">
        <v>80</v>
      </c>
      <c r="E13" s="698"/>
      <c r="F13" s="698"/>
      <c r="G13" s="699"/>
      <c r="H13" s="87"/>
      <c r="I13" s="100"/>
    </row>
    <row r="14" spans="1:10" ht="18.75" customHeight="1" x14ac:dyDescent="0.2">
      <c r="A14" s="695"/>
      <c r="B14" s="696"/>
      <c r="C14" s="697"/>
      <c r="D14" s="423" t="s">
        <v>26</v>
      </c>
      <c r="E14" s="423" t="s">
        <v>27</v>
      </c>
      <c r="F14" s="423" t="s">
        <v>28</v>
      </c>
      <c r="G14" s="423" t="s">
        <v>30</v>
      </c>
      <c r="H14" s="87"/>
      <c r="I14" s="100"/>
    </row>
    <row r="15" spans="1:10" x14ac:dyDescent="0.2">
      <c r="A15" s="709" t="s">
        <v>82</v>
      </c>
      <c r="B15" s="710"/>
      <c r="C15" s="118" t="s">
        <v>83</v>
      </c>
      <c r="D15" s="101">
        <f>SUM('FT Fee'!D22:D171,'FT Fee (Franchise)'!E19:E168)</f>
        <v>259</v>
      </c>
      <c r="E15" s="101">
        <f>SUM('FT Fee'!E22:E171,'FT Fee (Franchise)'!F19:F168)</f>
        <v>299</v>
      </c>
      <c r="F15" s="101">
        <f>SUM('FT Fee'!F22:F171,'FT Fee (Franchise)'!G19:G168)</f>
        <v>326</v>
      </c>
      <c r="G15" s="101">
        <f>SUM('FT Fee'!G22:G171,'FT Fee (Franchise)'!H19:H168)</f>
        <v>360</v>
      </c>
      <c r="H15" s="87" t="s">
        <v>96</v>
      </c>
      <c r="I15" s="100">
        <v>1</v>
      </c>
    </row>
    <row r="16" spans="1:10" x14ac:dyDescent="0.2">
      <c r="A16" s="711"/>
      <c r="B16" s="712"/>
      <c r="C16" s="119" t="s">
        <v>84</v>
      </c>
      <c r="D16" s="102">
        <f>SUM('FT Fee'!Z22:Z171,'FT Fee (Franchise)'!AA19:AA168)</f>
        <v>108</v>
      </c>
      <c r="E16" s="102">
        <f>SUM('FT Fee'!AA22:AA171,'FT Fee (Franchise)'!AB19:AB168)</f>
        <v>132</v>
      </c>
      <c r="F16" s="102">
        <f>SUM('FT Fee'!AB22:AB171,'FT Fee (Franchise)'!AC19:AC168)</f>
        <v>145</v>
      </c>
      <c r="G16" s="102">
        <f>SUM('FT Fee'!AC22:AC171,'FT Fee (Franchise)'!AD19:AD168)</f>
        <v>162</v>
      </c>
      <c r="H16" s="87" t="s">
        <v>96</v>
      </c>
      <c r="I16" s="88">
        <v>2</v>
      </c>
    </row>
    <row r="17" spans="1:10" x14ac:dyDescent="0.2">
      <c r="A17" s="684" t="s">
        <v>104</v>
      </c>
      <c r="B17" s="685"/>
      <c r="C17" s="120" t="s">
        <v>83</v>
      </c>
      <c r="D17" s="103">
        <v>239</v>
      </c>
      <c r="E17" s="104">
        <v>250</v>
      </c>
      <c r="F17" s="104">
        <v>270</v>
      </c>
      <c r="G17" s="104">
        <v>290</v>
      </c>
      <c r="H17" s="87" t="s">
        <v>96</v>
      </c>
      <c r="I17" s="88">
        <v>5</v>
      </c>
    </row>
    <row r="18" spans="1:10" ht="13.5" thickBot="1" x14ac:dyDescent="0.25">
      <c r="A18" s="686"/>
      <c r="B18" s="687"/>
      <c r="C18" s="121" t="s">
        <v>84</v>
      </c>
      <c r="D18" s="105">
        <v>0</v>
      </c>
      <c r="E18" s="106">
        <v>0</v>
      </c>
      <c r="F18" s="106">
        <v>0</v>
      </c>
      <c r="G18" s="106">
        <v>0</v>
      </c>
      <c r="H18" s="87" t="s">
        <v>96</v>
      </c>
      <c r="I18" s="88">
        <v>6</v>
      </c>
    </row>
    <row r="19" spans="1:10" ht="13.5" thickTop="1" x14ac:dyDescent="0.2">
      <c r="A19" s="688" t="s">
        <v>85</v>
      </c>
      <c r="B19" s="689"/>
      <c r="C19" s="122" t="s">
        <v>83</v>
      </c>
      <c r="D19" s="107">
        <f t="shared" ref="D19:G20" si="0">SUM(D15,D17)</f>
        <v>498</v>
      </c>
      <c r="E19" s="107">
        <f t="shared" si="0"/>
        <v>549</v>
      </c>
      <c r="F19" s="107">
        <f t="shared" si="0"/>
        <v>596</v>
      </c>
      <c r="G19" s="107">
        <f t="shared" si="0"/>
        <v>650</v>
      </c>
      <c r="H19" s="87" t="s">
        <v>96</v>
      </c>
      <c r="I19" s="88">
        <v>7</v>
      </c>
    </row>
    <row r="20" spans="1:10" x14ac:dyDescent="0.2">
      <c r="A20" s="690"/>
      <c r="B20" s="691"/>
      <c r="C20" s="123" t="s">
        <v>84</v>
      </c>
      <c r="D20" s="108">
        <f t="shared" si="0"/>
        <v>108</v>
      </c>
      <c r="E20" s="108">
        <f t="shared" si="0"/>
        <v>132</v>
      </c>
      <c r="F20" s="108">
        <f t="shared" si="0"/>
        <v>145</v>
      </c>
      <c r="G20" s="108">
        <f t="shared" si="0"/>
        <v>162</v>
      </c>
      <c r="H20" s="87" t="s">
        <v>96</v>
      </c>
      <c r="I20" s="88">
        <v>8</v>
      </c>
    </row>
    <row r="21" spans="1:10" x14ac:dyDescent="0.2">
      <c r="A21" s="109"/>
      <c r="B21" s="110"/>
      <c r="C21" s="110"/>
      <c r="D21" s="110"/>
      <c r="E21" s="110"/>
      <c r="F21" s="110"/>
      <c r="G21" s="111"/>
      <c r="H21" s="87"/>
      <c r="I21" s="88"/>
    </row>
    <row r="22" spans="1:10" ht="18.75" customHeight="1" x14ac:dyDescent="0.2">
      <c r="A22" s="692" t="s">
        <v>487</v>
      </c>
      <c r="B22" s="693"/>
      <c r="C22" s="694"/>
      <c r="D22" s="698" t="s">
        <v>80</v>
      </c>
      <c r="E22" s="698"/>
      <c r="F22" s="698"/>
      <c r="G22" s="699"/>
      <c r="H22" s="87"/>
      <c r="I22" s="88"/>
    </row>
    <row r="23" spans="1:10" ht="18.75" customHeight="1" x14ac:dyDescent="0.2">
      <c r="A23" s="695"/>
      <c r="B23" s="696"/>
      <c r="C23" s="697"/>
      <c r="D23" s="69" t="s">
        <v>26</v>
      </c>
      <c r="E23" s="69" t="s">
        <v>27</v>
      </c>
      <c r="F23" s="69" t="s">
        <v>28</v>
      </c>
      <c r="G23" s="69" t="s">
        <v>30</v>
      </c>
      <c r="H23" s="87"/>
      <c r="I23" s="88"/>
    </row>
    <row r="24" spans="1:10" x14ac:dyDescent="0.2">
      <c r="A24" s="700" t="s">
        <v>82</v>
      </c>
      <c r="B24" s="701"/>
      <c r="C24" s="702"/>
      <c r="D24" s="112">
        <f>(SUMPRODUCT(--('FT Fee'!$S$22:$S$171="YES"),'FT Fee'!D$22:D$171,'FT Fee'!$Y$22:$Y$171))+(SUMPRODUCT(--('FT Fee (Franchise)'!$T$19:$T$168="YES"),'FT Fee (Franchise)'!E$19:E$168,'FT Fee (Franchise)'!$Z$19:$Z$168))</f>
        <v>198072</v>
      </c>
      <c r="E24" s="112">
        <f>(SUMPRODUCT(--('FT Fee'!$S$22:$S$171="YES"),'FT Fee'!E$22:E$171,'FT Fee'!$Y$22:$Y$171))+(SUMPRODUCT(--('FT Fee (Franchise)'!$T$19:$T$168="YES"),'FT Fee (Franchise)'!F$19:F$168,'FT Fee (Franchise)'!$Z$19:$Z$168))</f>
        <v>242088</v>
      </c>
      <c r="F24" s="112">
        <f>(SUMPRODUCT(--('FT Fee'!$S$22:$S$171="YES"),'FT Fee'!F$22:F$171,'FT Fee'!$Y$22:$Y$171))+(SUMPRODUCT(--('FT Fee (Franchise)'!$T$19:$T$168="YES"),'FT Fee (Franchise)'!G$19:G$168,'FT Fee (Franchise)'!$Z$19:$Z$168))</f>
        <v>265930</v>
      </c>
      <c r="G24" s="112">
        <f>(SUMPRODUCT(--('FT Fee'!$S$22:$S$171="YES"),'FT Fee'!G$22:G$171,'FT Fee'!$Y$22:$Y$171))+(SUMPRODUCT(--('FT Fee (Franchise)'!$T$19:$T$168="YES"),'FT Fee (Franchise)'!H$19:H$168,'FT Fee (Franchise)'!$Z$19:$Z$168))</f>
        <v>297108</v>
      </c>
      <c r="H24" s="87" t="s">
        <v>98</v>
      </c>
      <c r="I24" s="88">
        <v>1</v>
      </c>
    </row>
    <row r="25" spans="1:10" ht="13.5" thickBot="1" x14ac:dyDescent="0.25">
      <c r="A25" s="703" t="s">
        <v>104</v>
      </c>
      <c r="B25" s="704"/>
      <c r="C25" s="705"/>
      <c r="D25" s="106">
        <v>0</v>
      </c>
      <c r="E25" s="106">
        <v>0</v>
      </c>
      <c r="F25" s="106">
        <v>0</v>
      </c>
      <c r="G25" s="106">
        <v>0</v>
      </c>
      <c r="H25" s="87" t="s">
        <v>98</v>
      </c>
      <c r="I25" s="88">
        <v>2</v>
      </c>
    </row>
    <row r="26" spans="1:10" ht="13.5" thickTop="1" x14ac:dyDescent="0.2">
      <c r="A26" s="675" t="s">
        <v>86</v>
      </c>
      <c r="B26" s="676"/>
      <c r="C26" s="677"/>
      <c r="D26" s="113">
        <f>SUM(D24:D25)</f>
        <v>198072</v>
      </c>
      <c r="E26" s="113">
        <f>SUM(E24:E25)</f>
        <v>242088</v>
      </c>
      <c r="F26" s="113">
        <f>SUM(F24:F25)</f>
        <v>265930</v>
      </c>
      <c r="G26" s="113">
        <f>SUM(G24:G25)</f>
        <v>297108</v>
      </c>
      <c r="H26" s="87" t="s">
        <v>98</v>
      </c>
      <c r="I26" s="88">
        <v>3</v>
      </c>
    </row>
    <row r="27" spans="1:10" x14ac:dyDescent="0.2">
      <c r="A27" s="706"/>
      <c r="B27" s="707"/>
      <c r="C27" s="707"/>
      <c r="D27" s="707"/>
      <c r="E27" s="707"/>
      <c r="F27" s="707"/>
      <c r="G27" s="708"/>
      <c r="H27" s="87"/>
      <c r="I27" s="88"/>
    </row>
    <row r="28" spans="1:10" s="347" customFormat="1" hidden="1" x14ac:dyDescent="0.25">
      <c r="A28" s="606" t="s">
        <v>87</v>
      </c>
      <c r="B28" s="607"/>
      <c r="C28" s="607"/>
      <c r="D28" s="607"/>
      <c r="E28" s="607"/>
      <c r="F28" s="607"/>
      <c r="G28" s="608"/>
      <c r="H28" s="87" t="s">
        <v>11</v>
      </c>
      <c r="I28" s="88"/>
      <c r="J28" s="114"/>
    </row>
    <row r="29" spans="1:10" ht="14.25" x14ac:dyDescent="0.2">
      <c r="A29" s="678" t="s">
        <v>88</v>
      </c>
      <c r="B29" s="679"/>
      <c r="C29" s="679"/>
      <c r="D29" s="679"/>
      <c r="E29" s="679"/>
      <c r="F29" s="679"/>
      <c r="G29" s="680"/>
      <c r="H29" s="87"/>
      <c r="I29" s="88"/>
    </row>
    <row r="30" spans="1:10" ht="222.75" customHeight="1" x14ac:dyDescent="0.2">
      <c r="A30" s="681"/>
      <c r="B30" s="682"/>
      <c r="C30" s="682"/>
      <c r="D30" s="682"/>
      <c r="E30" s="682"/>
      <c r="F30" s="682"/>
      <c r="G30" s="683"/>
      <c r="H30" s="115" t="s">
        <v>490</v>
      </c>
      <c r="I30" s="116"/>
    </row>
    <row r="31" spans="1:10" hidden="1" x14ac:dyDescent="0.2">
      <c r="A31" s="4"/>
      <c r="B31" s="4"/>
      <c r="C31" s="4"/>
      <c r="D31" s="4"/>
      <c r="E31" s="4"/>
      <c r="F31" s="4"/>
      <c r="G31" s="4"/>
    </row>
  </sheetData>
  <sheetProtection password="9A3D" sheet="1" objects="1" scenarios="1"/>
  <mergeCells count="25">
    <mergeCell ref="A15:B16"/>
    <mergeCell ref="A1:G1"/>
    <mergeCell ref="H1:I1"/>
    <mergeCell ref="A2:F2"/>
    <mergeCell ref="A3:F3"/>
    <mergeCell ref="A5:G5"/>
    <mergeCell ref="A6:G6"/>
    <mergeCell ref="A7:G7"/>
    <mergeCell ref="A9:G9"/>
    <mergeCell ref="A10:G10"/>
    <mergeCell ref="A13:C14"/>
    <mergeCell ref="D13:G13"/>
    <mergeCell ref="A4:G4"/>
    <mergeCell ref="A8:G8"/>
    <mergeCell ref="A26:C26"/>
    <mergeCell ref="A28:G28"/>
    <mergeCell ref="A29:G29"/>
    <mergeCell ref="A30:G30"/>
    <mergeCell ref="A17:B18"/>
    <mergeCell ref="A19:B20"/>
    <mergeCell ref="A22:C23"/>
    <mergeCell ref="D22:G22"/>
    <mergeCell ref="A24:C24"/>
    <mergeCell ref="A25:C25"/>
    <mergeCell ref="A27:G27"/>
  </mergeCells>
  <conditionalFormatting sqref="D6:G7">
    <cfRule type="expression" dxfId="21" priority="2">
      <formula>IF(J6="FAILED",TRUE,FALSE)</formula>
    </cfRule>
  </conditionalFormatting>
  <conditionalFormatting sqref="A6:C7">
    <cfRule type="expression" dxfId="20" priority="63">
      <formula>IF(J6="FAILED",TRUE,FALSE)</formula>
    </cfRule>
  </conditionalFormatting>
  <conditionalFormatting sqref="D18:G18 D25:G25">
    <cfRule type="expression" dxfId="19" priority="65">
      <formula>IF($J$6="FAILED",TRUE,FALSE)</formula>
    </cfRule>
  </conditionalFormatting>
  <dataValidations count="2">
    <dataValidation type="decimal" operator="greaterThanOrEqual" allowBlank="1" showInputMessage="1" showErrorMessage="1" sqref="D25:G25" xr:uid="{00000000-0002-0000-0500-000000000000}">
      <formula1>0</formula1>
    </dataValidation>
    <dataValidation type="whole" operator="greaterThanOrEqual" allowBlank="1" showInputMessage="1" showErrorMessage="1" sqref="D17:G18" xr:uid="{00000000-0002-0000-0500-000001000000}">
      <formula1>0</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1"/>
  <sheetViews>
    <sheetView topLeftCell="A2" zoomScaleNormal="100" workbookViewId="0">
      <selection activeCell="E18" sqref="E18"/>
    </sheetView>
  </sheetViews>
  <sheetFormatPr defaultColWidth="0" defaultRowHeight="12.75" zeroHeight="1" x14ac:dyDescent="0.2"/>
  <cols>
    <col min="1" max="1" width="31.5703125" style="85" customWidth="1"/>
    <col min="2" max="2" width="79.7109375" style="85" customWidth="1"/>
    <col min="3" max="3" width="16.7109375" style="85" customWidth="1"/>
    <col min="4" max="4" width="16.28515625" style="85" customWidth="1"/>
    <col min="5" max="5" width="17.28515625" style="85" customWidth="1"/>
    <col min="6" max="6" width="17.140625" style="85" customWidth="1"/>
    <col min="7" max="8" width="9.140625" style="117" hidden="1" customWidth="1"/>
    <col min="9" max="9" width="14.85546875" style="85" hidden="1" customWidth="1"/>
    <col min="10" max="16384" width="9.140625" style="345" hidden="1"/>
  </cols>
  <sheetData>
    <row r="1" spans="1:9" ht="18" x14ac:dyDescent="0.2">
      <c r="A1" s="593" t="s">
        <v>570</v>
      </c>
      <c r="B1" s="594"/>
      <c r="C1" s="594"/>
      <c r="D1" s="594"/>
      <c r="E1" s="594"/>
      <c r="F1" s="643"/>
      <c r="G1" s="713" t="s">
        <v>95</v>
      </c>
      <c r="H1" s="714"/>
    </row>
    <row r="2" spans="1:9" ht="15" x14ac:dyDescent="0.2">
      <c r="A2" s="646" t="str">
        <f>Contact!A2</f>
        <v>Institution name: Derby College</v>
      </c>
      <c r="B2" s="647"/>
      <c r="C2" s="647"/>
      <c r="D2" s="647"/>
      <c r="E2" s="647"/>
      <c r="F2" s="648"/>
      <c r="G2" s="87"/>
      <c r="H2" s="88"/>
    </row>
    <row r="3" spans="1:9" ht="15" x14ac:dyDescent="0.2">
      <c r="A3" s="649" t="str">
        <f>Contact!A3</f>
        <v>Institution UKPRN: 10001919</v>
      </c>
      <c r="B3" s="650"/>
      <c r="C3" s="650"/>
      <c r="D3" s="650"/>
      <c r="E3" s="650"/>
      <c r="F3" s="651"/>
      <c r="G3" s="87"/>
      <c r="H3" s="88"/>
    </row>
    <row r="4" spans="1:9" ht="15" x14ac:dyDescent="0.2">
      <c r="A4" s="601"/>
      <c r="B4" s="602"/>
      <c r="C4" s="602"/>
      <c r="D4" s="602"/>
      <c r="E4" s="602"/>
      <c r="F4" s="637"/>
      <c r="G4" s="87"/>
      <c r="H4" s="88"/>
    </row>
    <row r="5" spans="1:9" s="342" customFormat="1" ht="15" x14ac:dyDescent="0.2">
      <c r="A5" s="652" t="s">
        <v>59</v>
      </c>
      <c r="B5" s="653"/>
      <c r="C5" s="653"/>
      <c r="D5" s="653"/>
      <c r="E5" s="653"/>
      <c r="F5" s="654"/>
      <c r="G5" s="413"/>
      <c r="H5" s="414"/>
      <c r="I5" s="31" t="s">
        <v>35</v>
      </c>
    </row>
    <row r="6" spans="1:9" s="342" customFormat="1" ht="14.25" x14ac:dyDescent="0.2">
      <c r="A6" s="588" t="s">
        <v>559</v>
      </c>
      <c r="B6" s="589"/>
      <c r="C6" s="589"/>
      <c r="D6" s="589"/>
      <c r="E6" s="589"/>
      <c r="F6" s="590"/>
      <c r="G6" s="413"/>
      <c r="H6" s="414"/>
      <c r="I6" s="33" t="str">
        <f>IF(OR(COUNTBLANK(C15:F20)),"FAILED","PASSED")</f>
        <v>PASSED</v>
      </c>
    </row>
    <row r="7" spans="1:9" s="342" customFormat="1" ht="14.25" x14ac:dyDescent="0.2">
      <c r="A7" s="588" t="s">
        <v>548</v>
      </c>
      <c r="B7" s="589"/>
      <c r="C7" s="589"/>
      <c r="D7" s="589"/>
      <c r="E7" s="589"/>
      <c r="F7" s="590"/>
      <c r="G7" s="413"/>
      <c r="H7" s="414"/>
      <c r="I7" s="34" t="str">
        <f>IF(OR(OR(C18&gt;C17,D18&gt;D17,E18&gt;E17,F18&gt;F17),OR(C20&gt;C19,D20&gt;D19,E20&gt;E19,F20&gt;F19),OR(C16&gt;C15,D16&gt;D15,E16&gt;E15,F16&gt;F15)),"FAILED","PASSED")</f>
        <v>PASSED</v>
      </c>
    </row>
    <row r="8" spans="1:9" ht="15" hidden="1" x14ac:dyDescent="0.2">
      <c r="A8" s="89"/>
      <c r="B8" s="90"/>
      <c r="C8" s="91"/>
      <c r="D8" s="90"/>
      <c r="E8" s="90"/>
      <c r="F8" s="92"/>
      <c r="G8" s="87"/>
      <c r="H8" s="88"/>
    </row>
    <row r="9" spans="1:9" ht="15" hidden="1" x14ac:dyDescent="0.2">
      <c r="A9" s="652" t="s">
        <v>60</v>
      </c>
      <c r="B9" s="653"/>
      <c r="C9" s="653"/>
      <c r="D9" s="653"/>
      <c r="E9" s="653"/>
      <c r="F9" s="654"/>
      <c r="G9" s="87"/>
      <c r="H9" s="88"/>
    </row>
    <row r="10" spans="1:9" ht="14.25" hidden="1" x14ac:dyDescent="0.2">
      <c r="A10" s="715" t="s">
        <v>435</v>
      </c>
      <c r="B10" s="716"/>
      <c r="C10" s="716"/>
      <c r="D10" s="716"/>
      <c r="E10" s="716"/>
      <c r="F10" s="717"/>
      <c r="G10" s="87"/>
      <c r="H10" s="88"/>
    </row>
    <row r="11" spans="1:9" x14ac:dyDescent="0.2">
      <c r="A11" s="93"/>
      <c r="B11" s="94"/>
      <c r="C11" s="95"/>
      <c r="D11" s="124"/>
      <c r="E11" s="124"/>
      <c r="F11" s="125"/>
      <c r="G11" s="87"/>
      <c r="H11" s="88"/>
    </row>
    <row r="12" spans="1:9" s="348" customFormat="1" hidden="1" x14ac:dyDescent="0.25">
      <c r="A12" s="97"/>
      <c r="B12" s="98"/>
      <c r="C12" s="420" t="s">
        <v>5</v>
      </c>
      <c r="D12" s="420" t="s">
        <v>6</v>
      </c>
      <c r="E12" s="420" t="s">
        <v>7</v>
      </c>
      <c r="F12" s="420" t="s">
        <v>405</v>
      </c>
      <c r="G12" s="413" t="s">
        <v>11</v>
      </c>
      <c r="H12" s="414" t="s">
        <v>0</v>
      </c>
      <c r="I12" s="117"/>
    </row>
    <row r="13" spans="1:9" x14ac:dyDescent="0.2">
      <c r="A13" s="730" t="s">
        <v>546</v>
      </c>
      <c r="B13" s="731"/>
      <c r="C13" s="698" t="s">
        <v>80</v>
      </c>
      <c r="D13" s="698"/>
      <c r="E13" s="698"/>
      <c r="F13" s="699"/>
      <c r="G13" s="87"/>
      <c r="H13" s="88"/>
    </row>
    <row r="14" spans="1:9" x14ac:dyDescent="0.2">
      <c r="A14" s="732"/>
      <c r="B14" s="733"/>
      <c r="C14" s="423" t="s">
        <v>26</v>
      </c>
      <c r="D14" s="423" t="s">
        <v>27</v>
      </c>
      <c r="E14" s="423" t="s">
        <v>28</v>
      </c>
      <c r="F14" s="423" t="s">
        <v>30</v>
      </c>
      <c r="G14" s="87"/>
      <c r="H14" s="88"/>
    </row>
    <row r="15" spans="1:9" x14ac:dyDescent="0.2">
      <c r="A15" s="726" t="s">
        <v>556</v>
      </c>
      <c r="B15" s="137" t="s">
        <v>516</v>
      </c>
      <c r="C15" s="126">
        <v>26000</v>
      </c>
      <c r="D15" s="126">
        <v>32000</v>
      </c>
      <c r="E15" s="126">
        <v>35000</v>
      </c>
      <c r="F15" s="126">
        <v>38000</v>
      </c>
      <c r="G15" s="87" t="s">
        <v>103</v>
      </c>
      <c r="H15" s="88">
        <v>1</v>
      </c>
    </row>
    <row r="16" spans="1:9" ht="13.5" thickBot="1" x14ac:dyDescent="0.25">
      <c r="A16" s="725"/>
      <c r="B16" s="138" t="s">
        <v>448</v>
      </c>
      <c r="C16" s="127">
        <v>26000</v>
      </c>
      <c r="D16" s="127">
        <v>32000</v>
      </c>
      <c r="E16" s="127">
        <v>35000</v>
      </c>
      <c r="F16" s="127">
        <v>38000</v>
      </c>
      <c r="G16" s="87" t="s">
        <v>103</v>
      </c>
      <c r="H16" s="88">
        <v>2</v>
      </c>
    </row>
    <row r="17" spans="1:9" x14ac:dyDescent="0.2">
      <c r="A17" s="724" t="s">
        <v>557</v>
      </c>
      <c r="B17" s="139" t="s">
        <v>545</v>
      </c>
      <c r="C17" s="128">
        <v>28190</v>
      </c>
      <c r="D17" s="128">
        <v>34010</v>
      </c>
      <c r="E17" s="128">
        <v>37665</v>
      </c>
      <c r="F17" s="128">
        <v>42385</v>
      </c>
      <c r="G17" s="87" t="s">
        <v>103</v>
      </c>
      <c r="H17" s="88">
        <v>3</v>
      </c>
    </row>
    <row r="18" spans="1:9" ht="13.5" thickBot="1" x14ac:dyDescent="0.25">
      <c r="A18" s="725"/>
      <c r="B18" s="138" t="s">
        <v>448</v>
      </c>
      <c r="C18" s="127">
        <v>28190</v>
      </c>
      <c r="D18" s="127">
        <v>34010</v>
      </c>
      <c r="E18" s="127">
        <v>37665</v>
      </c>
      <c r="F18" s="127">
        <v>42385</v>
      </c>
      <c r="G18" s="87" t="s">
        <v>103</v>
      </c>
      <c r="H18" s="88">
        <v>4</v>
      </c>
    </row>
    <row r="19" spans="1:9" x14ac:dyDescent="0.2">
      <c r="A19" s="726" t="s">
        <v>558</v>
      </c>
      <c r="B19" s="140" t="s">
        <v>517</v>
      </c>
      <c r="C19" s="129">
        <v>6000</v>
      </c>
      <c r="D19" s="129">
        <v>8000</v>
      </c>
      <c r="E19" s="129">
        <v>10000</v>
      </c>
      <c r="F19" s="129">
        <v>12000</v>
      </c>
      <c r="G19" s="87" t="s">
        <v>103</v>
      </c>
      <c r="H19" s="88">
        <v>5</v>
      </c>
    </row>
    <row r="20" spans="1:9" ht="13.5" thickBot="1" x14ac:dyDescent="0.25">
      <c r="A20" s="727"/>
      <c r="B20" s="141" t="s">
        <v>448</v>
      </c>
      <c r="C20" s="130">
        <v>6000</v>
      </c>
      <c r="D20" s="130">
        <v>8000</v>
      </c>
      <c r="E20" s="130">
        <v>10000</v>
      </c>
      <c r="F20" s="130">
        <v>12000</v>
      </c>
      <c r="G20" s="87" t="s">
        <v>103</v>
      </c>
      <c r="H20" s="88">
        <v>6</v>
      </c>
    </row>
    <row r="21" spans="1:9" ht="13.5" thickTop="1" x14ac:dyDescent="0.2">
      <c r="A21" s="728" t="s">
        <v>518</v>
      </c>
      <c r="B21" s="142" t="s">
        <v>544</v>
      </c>
      <c r="C21" s="131">
        <f t="shared" ref="C21:F22" si="0">SUM(C15,C17,C19)</f>
        <v>60190</v>
      </c>
      <c r="D21" s="131">
        <f t="shared" si="0"/>
        <v>74010</v>
      </c>
      <c r="E21" s="131">
        <f t="shared" si="0"/>
        <v>82665</v>
      </c>
      <c r="F21" s="131">
        <f t="shared" si="0"/>
        <v>92385</v>
      </c>
      <c r="G21" s="87" t="s">
        <v>103</v>
      </c>
      <c r="H21" s="88">
        <v>7</v>
      </c>
    </row>
    <row r="22" spans="1:9" s="349" customFormat="1" x14ac:dyDescent="0.2">
      <c r="A22" s="729"/>
      <c r="B22" s="143" t="s">
        <v>448</v>
      </c>
      <c r="C22" s="132">
        <f t="shared" si="0"/>
        <v>60190</v>
      </c>
      <c r="D22" s="132">
        <f t="shared" si="0"/>
        <v>74010</v>
      </c>
      <c r="E22" s="132">
        <f t="shared" si="0"/>
        <v>82665</v>
      </c>
      <c r="F22" s="132">
        <f t="shared" si="0"/>
        <v>92385</v>
      </c>
      <c r="G22" s="87" t="s">
        <v>103</v>
      </c>
      <c r="H22" s="88">
        <v>8</v>
      </c>
      <c r="I22" s="133"/>
    </row>
    <row r="23" spans="1:9" s="349" customFormat="1" x14ac:dyDescent="0.2">
      <c r="A23" s="134"/>
      <c r="B23" s="134"/>
      <c r="C23" s="134"/>
      <c r="D23" s="134"/>
      <c r="E23" s="134"/>
      <c r="F23" s="135"/>
      <c r="G23" s="87"/>
      <c r="H23" s="88"/>
      <c r="I23" s="133"/>
    </row>
    <row r="24" spans="1:9" s="349" customFormat="1" x14ac:dyDescent="0.2">
      <c r="A24" s="730" t="s">
        <v>519</v>
      </c>
      <c r="B24" s="731"/>
      <c r="C24" s="698"/>
      <c r="D24" s="698"/>
      <c r="E24" s="698"/>
      <c r="F24" s="699"/>
      <c r="G24" s="87"/>
      <c r="H24" s="88"/>
      <c r="I24" s="133"/>
    </row>
    <row r="25" spans="1:9" s="349" customFormat="1" x14ac:dyDescent="0.2">
      <c r="A25" s="732"/>
      <c r="B25" s="733"/>
      <c r="C25" s="423" t="s">
        <v>26</v>
      </c>
      <c r="D25" s="423" t="s">
        <v>27</v>
      </c>
      <c r="E25" s="423" t="s">
        <v>28</v>
      </c>
      <c r="F25" s="423" t="s">
        <v>30</v>
      </c>
      <c r="G25" s="87"/>
      <c r="H25" s="88"/>
      <c r="I25" s="133"/>
    </row>
    <row r="26" spans="1:9" s="349" customFormat="1" x14ac:dyDescent="0.2">
      <c r="A26" s="734" t="s">
        <v>575</v>
      </c>
      <c r="B26" s="735"/>
      <c r="C26" s="136">
        <v>0</v>
      </c>
      <c r="D26" s="136">
        <v>0</v>
      </c>
      <c r="E26" s="136">
        <v>0</v>
      </c>
      <c r="F26" s="136">
        <v>0</v>
      </c>
      <c r="G26" s="87" t="s">
        <v>113</v>
      </c>
      <c r="H26" s="88">
        <v>9</v>
      </c>
      <c r="I26" s="133"/>
    </row>
    <row r="27" spans="1:9" x14ac:dyDescent="0.2">
      <c r="A27" s="736"/>
      <c r="B27" s="737"/>
      <c r="C27" s="737"/>
      <c r="D27" s="737"/>
      <c r="E27" s="737"/>
      <c r="F27" s="738"/>
      <c r="G27" s="87"/>
      <c r="H27" s="88"/>
    </row>
    <row r="28" spans="1:9" s="348" customFormat="1" hidden="1" x14ac:dyDescent="0.25">
      <c r="A28" s="606" t="s">
        <v>87</v>
      </c>
      <c r="B28" s="607"/>
      <c r="C28" s="607"/>
      <c r="D28" s="607"/>
      <c r="E28" s="607"/>
      <c r="F28" s="608"/>
      <c r="G28" s="87" t="s">
        <v>11</v>
      </c>
      <c r="H28" s="88"/>
      <c r="I28" s="117"/>
    </row>
    <row r="29" spans="1:9" x14ac:dyDescent="0.2">
      <c r="A29" s="721" t="s">
        <v>99</v>
      </c>
      <c r="B29" s="722"/>
      <c r="C29" s="722"/>
      <c r="D29" s="722"/>
      <c r="E29" s="722"/>
      <c r="F29" s="723"/>
      <c r="G29" s="87"/>
      <c r="H29" s="88"/>
    </row>
    <row r="30" spans="1:9" ht="224.25" customHeight="1" x14ac:dyDescent="0.2">
      <c r="A30" s="681"/>
      <c r="B30" s="682"/>
      <c r="C30" s="682"/>
      <c r="D30" s="682"/>
      <c r="E30" s="682"/>
      <c r="F30" s="683"/>
      <c r="G30" s="115" t="s">
        <v>114</v>
      </c>
      <c r="H30" s="116"/>
    </row>
    <row r="31" spans="1:9" hidden="1" x14ac:dyDescent="0.2">
      <c r="A31" s="4"/>
      <c r="B31" s="4"/>
      <c r="C31" s="4"/>
      <c r="D31" s="4"/>
      <c r="E31" s="4"/>
    </row>
  </sheetData>
  <sheetProtection password="9A3D" sheet="1" objects="1" scenarios="1"/>
  <mergeCells count="23">
    <mergeCell ref="A15:A16"/>
    <mergeCell ref="A1:F1"/>
    <mergeCell ref="G1:H1"/>
    <mergeCell ref="A2:F2"/>
    <mergeCell ref="A3:F3"/>
    <mergeCell ref="A5:F5"/>
    <mergeCell ref="A6:F6"/>
    <mergeCell ref="A7:F7"/>
    <mergeCell ref="A9:F9"/>
    <mergeCell ref="A10:F10"/>
    <mergeCell ref="A13:B14"/>
    <mergeCell ref="C13:F13"/>
    <mergeCell ref="A4:F4"/>
    <mergeCell ref="A28:F28"/>
    <mergeCell ref="A29:F29"/>
    <mergeCell ref="A30:F30"/>
    <mergeCell ref="A17:A18"/>
    <mergeCell ref="A19:A20"/>
    <mergeCell ref="A21:A22"/>
    <mergeCell ref="A24:B25"/>
    <mergeCell ref="C24:F24"/>
    <mergeCell ref="A26:B26"/>
    <mergeCell ref="A27:F27"/>
  </mergeCells>
  <conditionalFormatting sqref="C6:F7">
    <cfRule type="expression" dxfId="18" priority="1">
      <formula>IF(I6="FAILED",TRUE,FALSE)</formula>
    </cfRule>
  </conditionalFormatting>
  <conditionalFormatting sqref="A6:B7">
    <cfRule type="expression" dxfId="17" priority="66">
      <formula>IF(I6="FAILED",TRUE,FALSE)</formula>
    </cfRule>
  </conditionalFormatting>
  <dataValidations count="1">
    <dataValidation type="decimal" operator="greaterThanOrEqual" allowBlank="1" showInputMessage="1" showErrorMessage="1" sqref="C15:F20 C26:F26" xr:uid="{00000000-0002-0000-0600-000000000000}">
      <formula1>0</formula1>
    </dataValidation>
  </dataValidation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8"/>
  <sheetViews>
    <sheetView zoomScaleNormal="100" workbookViewId="0">
      <selection activeCell="E25" sqref="E24:H25"/>
    </sheetView>
  </sheetViews>
  <sheetFormatPr defaultColWidth="0" defaultRowHeight="12.75" zeroHeight="1" x14ac:dyDescent="0.2"/>
  <cols>
    <col min="1" max="1" width="24.7109375" style="85" customWidth="1"/>
    <col min="2" max="2" width="14.42578125" style="85" customWidth="1"/>
    <col min="3" max="3" width="11.42578125" style="85" customWidth="1"/>
    <col min="4" max="4" width="54.7109375" style="85" customWidth="1"/>
    <col min="5" max="5" width="20.7109375" style="85" customWidth="1"/>
    <col min="6" max="6" width="20.5703125" style="85" customWidth="1"/>
    <col min="7" max="8" width="20.7109375" style="85" customWidth="1"/>
    <col min="9" max="10" width="11.7109375" style="117" hidden="1" customWidth="1"/>
    <col min="11" max="11" width="12.28515625" style="85" hidden="1" customWidth="1"/>
    <col min="12" max="16384" width="9.140625" style="345" hidden="1"/>
  </cols>
  <sheetData>
    <row r="1" spans="1:11" ht="18" x14ac:dyDescent="0.2">
      <c r="A1" s="593" t="s">
        <v>569</v>
      </c>
      <c r="B1" s="594"/>
      <c r="C1" s="594"/>
      <c r="D1" s="594"/>
      <c r="E1" s="594"/>
      <c r="F1" s="594"/>
      <c r="G1" s="594"/>
      <c r="H1" s="643"/>
      <c r="I1" s="713" t="s">
        <v>100</v>
      </c>
      <c r="J1" s="714"/>
    </row>
    <row r="2" spans="1:11" ht="15" x14ac:dyDescent="0.2">
      <c r="A2" s="646" t="str">
        <f>Contact!A2</f>
        <v>Institution name: Derby College</v>
      </c>
      <c r="B2" s="647"/>
      <c r="C2" s="647"/>
      <c r="D2" s="647"/>
      <c r="E2" s="647"/>
      <c r="F2" s="647"/>
      <c r="G2" s="647"/>
      <c r="H2" s="648"/>
      <c r="I2" s="87"/>
      <c r="J2" s="88"/>
    </row>
    <row r="3" spans="1:11" ht="15" x14ac:dyDescent="0.2">
      <c r="A3" s="649" t="str">
        <f>Contact!A3</f>
        <v>Institution UKPRN: 10001919</v>
      </c>
      <c r="B3" s="650"/>
      <c r="C3" s="650"/>
      <c r="D3" s="650"/>
      <c r="E3" s="650"/>
      <c r="F3" s="650"/>
      <c r="G3" s="650"/>
      <c r="H3" s="651"/>
      <c r="I3" s="87"/>
      <c r="J3" s="88"/>
    </row>
    <row r="4" spans="1:11" x14ac:dyDescent="0.2">
      <c r="A4" s="144"/>
      <c r="B4" s="145"/>
      <c r="C4" s="145"/>
      <c r="D4" s="145"/>
      <c r="E4" s="145"/>
      <c r="F4" s="145"/>
      <c r="G4" s="145"/>
      <c r="H4" s="146"/>
      <c r="I4" s="87"/>
      <c r="J4" s="88"/>
    </row>
    <row r="5" spans="1:11" ht="15" x14ac:dyDescent="0.2">
      <c r="A5" s="586" t="s">
        <v>59</v>
      </c>
      <c r="B5" s="587"/>
      <c r="C5" s="587"/>
      <c r="D5" s="587"/>
      <c r="E5" s="587"/>
      <c r="F5" s="587"/>
      <c r="G5" s="587"/>
      <c r="H5" s="672"/>
      <c r="I5" s="413"/>
      <c r="J5" s="414"/>
      <c r="K5" s="31" t="s">
        <v>35</v>
      </c>
    </row>
    <row r="6" spans="1:11" ht="14.25" x14ac:dyDescent="0.2">
      <c r="A6" s="782" t="s">
        <v>471</v>
      </c>
      <c r="B6" s="783"/>
      <c r="C6" s="783"/>
      <c r="D6" s="783"/>
      <c r="E6" s="783"/>
      <c r="F6" s="783"/>
      <c r="G6" s="783"/>
      <c r="H6" s="784"/>
      <c r="I6" s="413"/>
      <c r="J6" s="414"/>
      <c r="K6" s="33" t="str">
        <f>IF(COUNTBLANK(E14:H27)&gt;0,"FAILED","PASSED")</f>
        <v>PASSED</v>
      </c>
    </row>
    <row r="7" spans="1:11" hidden="1" x14ac:dyDescent="0.2">
      <c r="A7" s="144"/>
      <c r="B7" s="145"/>
      <c r="C7" s="145"/>
      <c r="D7" s="145"/>
      <c r="E7" s="145"/>
      <c r="F7" s="145"/>
      <c r="G7" s="145"/>
      <c r="H7" s="146"/>
      <c r="I7" s="87"/>
      <c r="J7" s="88"/>
    </row>
    <row r="8" spans="1:11" ht="15" hidden="1" x14ac:dyDescent="0.2">
      <c r="A8" s="652" t="s">
        <v>60</v>
      </c>
      <c r="B8" s="653"/>
      <c r="C8" s="653"/>
      <c r="D8" s="653"/>
      <c r="E8" s="653"/>
      <c r="F8" s="653"/>
      <c r="G8" s="653"/>
      <c r="H8" s="654"/>
      <c r="I8" s="87"/>
      <c r="J8" s="88"/>
    </row>
    <row r="9" spans="1:11" s="348" customFormat="1" ht="14.25" hidden="1" x14ac:dyDescent="0.25">
      <c r="A9" s="715" t="s">
        <v>438</v>
      </c>
      <c r="B9" s="716"/>
      <c r="C9" s="716"/>
      <c r="D9" s="716"/>
      <c r="E9" s="716"/>
      <c r="F9" s="716"/>
      <c r="G9" s="716"/>
      <c r="H9" s="717"/>
      <c r="I9" s="87"/>
      <c r="J9" s="88"/>
      <c r="K9" s="117"/>
    </row>
    <row r="10" spans="1:11" x14ac:dyDescent="0.2">
      <c r="A10" s="144"/>
      <c r="B10" s="145"/>
      <c r="C10" s="145"/>
      <c r="D10" s="145"/>
      <c r="E10" s="145"/>
      <c r="F10" s="145"/>
      <c r="G10" s="145"/>
      <c r="H10" s="146"/>
      <c r="I10" s="87"/>
      <c r="J10" s="88"/>
    </row>
    <row r="11" spans="1:11" hidden="1" x14ac:dyDescent="0.2">
      <c r="A11" s="147"/>
      <c r="B11" s="148"/>
      <c r="C11" s="148"/>
      <c r="D11" s="148"/>
      <c r="E11" s="420" t="s">
        <v>5</v>
      </c>
      <c r="F11" s="420" t="s">
        <v>6</v>
      </c>
      <c r="G11" s="420" t="s">
        <v>7</v>
      </c>
      <c r="H11" s="420" t="s">
        <v>405</v>
      </c>
      <c r="I11" s="413" t="s">
        <v>11</v>
      </c>
      <c r="J11" s="414" t="s">
        <v>0</v>
      </c>
    </row>
    <row r="12" spans="1:11" x14ac:dyDescent="0.2">
      <c r="A12" s="785" t="s">
        <v>521</v>
      </c>
      <c r="B12" s="786"/>
      <c r="C12" s="786"/>
      <c r="D12" s="787"/>
      <c r="E12" s="761" t="s">
        <v>80</v>
      </c>
      <c r="F12" s="698"/>
      <c r="G12" s="698"/>
      <c r="H12" s="699"/>
      <c r="I12" s="87"/>
      <c r="J12" s="414"/>
    </row>
    <row r="13" spans="1:11" x14ac:dyDescent="0.2">
      <c r="A13" s="788"/>
      <c r="B13" s="789"/>
      <c r="C13" s="789"/>
      <c r="D13" s="790"/>
      <c r="E13" s="69" t="s">
        <v>26</v>
      </c>
      <c r="F13" s="69" t="s">
        <v>27</v>
      </c>
      <c r="G13" s="69" t="s">
        <v>28</v>
      </c>
      <c r="H13" s="69" t="s">
        <v>30</v>
      </c>
      <c r="I13" s="87"/>
      <c r="J13" s="414"/>
    </row>
    <row r="14" spans="1:11" x14ac:dyDescent="0.2">
      <c r="A14" s="762" t="s">
        <v>101</v>
      </c>
      <c r="B14" s="709" t="s">
        <v>82</v>
      </c>
      <c r="C14" s="710"/>
      <c r="D14" s="159" t="s">
        <v>102</v>
      </c>
      <c r="E14" s="149">
        <v>0</v>
      </c>
      <c r="F14" s="149">
        <v>0</v>
      </c>
      <c r="G14" s="149">
        <v>0</v>
      </c>
      <c r="H14" s="149">
        <v>0</v>
      </c>
      <c r="I14" s="87" t="s">
        <v>122</v>
      </c>
      <c r="J14" s="88">
        <v>1</v>
      </c>
    </row>
    <row r="15" spans="1:11" x14ac:dyDescent="0.2">
      <c r="A15" s="763"/>
      <c r="B15" s="711"/>
      <c r="C15" s="712"/>
      <c r="D15" s="160" t="s">
        <v>574</v>
      </c>
      <c r="E15" s="149">
        <v>0</v>
      </c>
      <c r="F15" s="149">
        <v>0</v>
      </c>
      <c r="G15" s="149">
        <v>0</v>
      </c>
      <c r="H15" s="149">
        <v>0</v>
      </c>
      <c r="I15" s="87" t="s">
        <v>122</v>
      </c>
      <c r="J15" s="88">
        <v>2</v>
      </c>
    </row>
    <row r="16" spans="1:11" x14ac:dyDescent="0.2">
      <c r="A16" s="763"/>
      <c r="B16" s="684" t="s">
        <v>104</v>
      </c>
      <c r="C16" s="685"/>
      <c r="D16" s="159" t="s">
        <v>102</v>
      </c>
      <c r="E16" s="149">
        <v>0</v>
      </c>
      <c r="F16" s="149">
        <v>0</v>
      </c>
      <c r="G16" s="149">
        <v>0</v>
      </c>
      <c r="H16" s="149">
        <v>0</v>
      </c>
      <c r="I16" s="87" t="s">
        <v>122</v>
      </c>
      <c r="J16" s="88">
        <v>3</v>
      </c>
    </row>
    <row r="17" spans="1:11" x14ac:dyDescent="0.2">
      <c r="A17" s="763"/>
      <c r="B17" s="711"/>
      <c r="C17" s="712"/>
      <c r="D17" s="160" t="s">
        <v>574</v>
      </c>
      <c r="E17" s="149">
        <v>0</v>
      </c>
      <c r="F17" s="149">
        <v>0</v>
      </c>
      <c r="G17" s="149">
        <v>0</v>
      </c>
      <c r="H17" s="149">
        <v>0</v>
      </c>
      <c r="I17" s="87" t="s">
        <v>122</v>
      </c>
      <c r="J17" s="88">
        <v>4</v>
      </c>
    </row>
    <row r="18" spans="1:11" ht="24.75" customHeight="1" thickBot="1" x14ac:dyDescent="0.25">
      <c r="A18" s="764"/>
      <c r="B18" s="767" t="s">
        <v>105</v>
      </c>
      <c r="C18" s="768"/>
      <c r="D18" s="769"/>
      <c r="E18" s="500">
        <f>SUM(E14:E17)</f>
        <v>0</v>
      </c>
      <c r="F18" s="500">
        <f>SUM(F14:F17)</f>
        <v>0</v>
      </c>
      <c r="G18" s="500">
        <f>SUM(G14:G17)</f>
        <v>0</v>
      </c>
      <c r="H18" s="500">
        <f>SUM(H14:H17)</f>
        <v>0</v>
      </c>
      <c r="I18" s="87" t="s">
        <v>122</v>
      </c>
      <c r="J18" s="88">
        <v>5</v>
      </c>
    </row>
    <row r="19" spans="1:11" x14ac:dyDescent="0.2">
      <c r="A19" s="762" t="s">
        <v>106</v>
      </c>
      <c r="B19" s="765" t="s">
        <v>82</v>
      </c>
      <c r="C19" s="766"/>
      <c r="D19" s="161" t="s">
        <v>102</v>
      </c>
      <c r="E19" s="149">
        <v>5000</v>
      </c>
      <c r="F19" s="149">
        <v>6000</v>
      </c>
      <c r="G19" s="149">
        <v>8000</v>
      </c>
      <c r="H19" s="149">
        <v>8000</v>
      </c>
      <c r="I19" s="87" t="s">
        <v>122</v>
      </c>
      <c r="J19" s="88">
        <v>8</v>
      </c>
    </row>
    <row r="20" spans="1:11" x14ac:dyDescent="0.2">
      <c r="A20" s="763"/>
      <c r="B20" s="711"/>
      <c r="C20" s="712"/>
      <c r="D20" s="162" t="s">
        <v>574</v>
      </c>
      <c r="E20" s="150">
        <v>15000</v>
      </c>
      <c r="F20" s="150">
        <v>18000</v>
      </c>
      <c r="G20" s="150">
        <v>20000</v>
      </c>
      <c r="H20" s="150">
        <v>24000</v>
      </c>
      <c r="I20" s="87" t="s">
        <v>122</v>
      </c>
      <c r="J20" s="88">
        <v>9</v>
      </c>
    </row>
    <row r="21" spans="1:11" x14ac:dyDescent="0.2">
      <c r="A21" s="763"/>
      <c r="B21" s="684" t="s">
        <v>104</v>
      </c>
      <c r="C21" s="685"/>
      <c r="D21" s="159" t="s">
        <v>102</v>
      </c>
      <c r="E21" s="104">
        <v>0</v>
      </c>
      <c r="F21" s="104">
        <v>0</v>
      </c>
      <c r="G21" s="104">
        <v>0</v>
      </c>
      <c r="H21" s="104">
        <v>0</v>
      </c>
      <c r="I21" s="87" t="s">
        <v>122</v>
      </c>
      <c r="J21" s="88">
        <v>10</v>
      </c>
    </row>
    <row r="22" spans="1:11" x14ac:dyDescent="0.2">
      <c r="A22" s="763"/>
      <c r="B22" s="711"/>
      <c r="C22" s="712"/>
      <c r="D22" s="160" t="s">
        <v>574</v>
      </c>
      <c r="E22" s="104">
        <v>0</v>
      </c>
      <c r="F22" s="104">
        <v>0</v>
      </c>
      <c r="G22" s="104">
        <v>0</v>
      </c>
      <c r="H22" s="104">
        <v>0</v>
      </c>
      <c r="I22" s="87" t="s">
        <v>122</v>
      </c>
      <c r="J22" s="88">
        <v>11</v>
      </c>
    </row>
    <row r="23" spans="1:11" ht="30.75" customHeight="1" thickBot="1" x14ac:dyDescent="0.25">
      <c r="A23" s="764"/>
      <c r="B23" s="767" t="s">
        <v>107</v>
      </c>
      <c r="C23" s="768"/>
      <c r="D23" s="769"/>
      <c r="E23" s="501">
        <f>SUM(E19:E22)</f>
        <v>20000</v>
      </c>
      <c r="F23" s="501">
        <f>SUM(F19:F22)</f>
        <v>24000</v>
      </c>
      <c r="G23" s="501">
        <f>SUM(G19:G22)</f>
        <v>28000</v>
      </c>
      <c r="H23" s="501">
        <f>SUM(H19:H22)</f>
        <v>32000</v>
      </c>
      <c r="I23" s="87" t="s">
        <v>122</v>
      </c>
      <c r="J23" s="88">
        <v>12</v>
      </c>
    </row>
    <row r="24" spans="1:11" ht="13.5" thickBot="1" x14ac:dyDescent="0.25">
      <c r="A24" s="770" t="s">
        <v>108</v>
      </c>
      <c r="B24" s="773" t="s">
        <v>82</v>
      </c>
      <c r="C24" s="774"/>
      <c r="D24" s="775"/>
      <c r="E24" s="151">
        <v>0</v>
      </c>
      <c r="F24" s="151">
        <v>0</v>
      </c>
      <c r="G24" s="151">
        <v>0</v>
      </c>
      <c r="H24" s="151">
        <v>0</v>
      </c>
      <c r="I24" s="87" t="s">
        <v>122</v>
      </c>
      <c r="J24" s="88">
        <v>13</v>
      </c>
    </row>
    <row r="25" spans="1:11" x14ac:dyDescent="0.2">
      <c r="A25" s="771"/>
      <c r="B25" s="776" t="s">
        <v>104</v>
      </c>
      <c r="C25" s="777"/>
      <c r="D25" s="778"/>
      <c r="E25" s="151">
        <v>0</v>
      </c>
      <c r="F25" s="151">
        <v>0</v>
      </c>
      <c r="G25" s="151">
        <v>0</v>
      </c>
      <c r="H25" s="151">
        <v>0</v>
      </c>
      <c r="I25" s="87" t="s">
        <v>122</v>
      </c>
      <c r="J25" s="88">
        <v>14</v>
      </c>
    </row>
    <row r="26" spans="1:11" s="349" customFormat="1" ht="13.5" thickBot="1" x14ac:dyDescent="0.25">
      <c r="A26" s="772"/>
      <c r="B26" s="779" t="s">
        <v>109</v>
      </c>
      <c r="C26" s="780"/>
      <c r="D26" s="781"/>
      <c r="E26" s="502">
        <f>SUM(E24:E25)</f>
        <v>0</v>
      </c>
      <c r="F26" s="502">
        <f>SUM(F24:F25)</f>
        <v>0</v>
      </c>
      <c r="G26" s="502">
        <f>SUM(G24:G25)</f>
        <v>0</v>
      </c>
      <c r="H26" s="502">
        <f>SUM(H24:H25)</f>
        <v>0</v>
      </c>
      <c r="I26" s="87" t="s">
        <v>122</v>
      </c>
      <c r="J26" s="88">
        <v>15</v>
      </c>
      <c r="K26" s="133"/>
    </row>
    <row r="27" spans="1:11" s="349" customFormat="1" ht="13.5" thickBot="1" x14ac:dyDescent="0.25">
      <c r="A27" s="163" t="s">
        <v>110</v>
      </c>
      <c r="B27" s="745" t="s">
        <v>111</v>
      </c>
      <c r="C27" s="746"/>
      <c r="D27" s="747"/>
      <c r="E27" s="152">
        <v>3000</v>
      </c>
      <c r="F27" s="152">
        <v>4000</v>
      </c>
      <c r="G27" s="152">
        <v>5000</v>
      </c>
      <c r="H27" s="152">
        <v>6000</v>
      </c>
      <c r="I27" s="87" t="s">
        <v>122</v>
      </c>
      <c r="J27" s="88">
        <v>16</v>
      </c>
      <c r="K27" s="133"/>
    </row>
    <row r="28" spans="1:11" s="349" customFormat="1" ht="13.5" thickTop="1" x14ac:dyDescent="0.2">
      <c r="A28" s="748" t="s">
        <v>112</v>
      </c>
      <c r="B28" s="749"/>
      <c r="C28" s="749"/>
      <c r="D28" s="750"/>
      <c r="E28" s="153">
        <f>SUM(E18,E23,E26,E27)</f>
        <v>23000</v>
      </c>
      <c r="F28" s="153">
        <f>SUM(F18,F23,F26,F27)</f>
        <v>28000</v>
      </c>
      <c r="G28" s="153">
        <f>SUM(G18,G23,G26,G27)</f>
        <v>33000</v>
      </c>
      <c r="H28" s="153">
        <f>SUM(H18,H23,H26,H27)</f>
        <v>38000</v>
      </c>
      <c r="I28" s="87" t="s">
        <v>122</v>
      </c>
      <c r="J28" s="88">
        <v>17</v>
      </c>
      <c r="K28" s="133"/>
    </row>
    <row r="29" spans="1:11" s="349" customFormat="1" x14ac:dyDescent="0.2">
      <c r="A29" s="154"/>
      <c r="B29" s="154"/>
      <c r="C29" s="154"/>
      <c r="D29" s="154"/>
      <c r="E29" s="154"/>
      <c r="F29" s="154"/>
      <c r="G29" s="154"/>
      <c r="H29" s="154"/>
      <c r="I29" s="87"/>
      <c r="J29" s="88"/>
      <c r="K29" s="133"/>
    </row>
    <row r="30" spans="1:11" x14ac:dyDescent="0.2">
      <c r="A30" s="154"/>
      <c r="B30" s="154"/>
      <c r="C30" s="154"/>
      <c r="D30" s="154"/>
      <c r="E30" s="154"/>
      <c r="F30" s="154"/>
      <c r="G30" s="154"/>
      <c r="H30" s="154"/>
      <c r="I30" s="87"/>
      <c r="J30" s="88"/>
    </row>
    <row r="31" spans="1:11" x14ac:dyDescent="0.2">
      <c r="A31" s="751" t="s">
        <v>522</v>
      </c>
      <c r="B31" s="752"/>
      <c r="C31" s="752"/>
      <c r="D31" s="752"/>
      <c r="E31" s="761" t="s">
        <v>97</v>
      </c>
      <c r="F31" s="698"/>
      <c r="G31" s="698"/>
      <c r="H31" s="699"/>
      <c r="I31" s="87"/>
      <c r="J31" s="88"/>
    </row>
    <row r="32" spans="1:11" x14ac:dyDescent="0.2">
      <c r="A32" s="753"/>
      <c r="B32" s="754"/>
      <c r="C32" s="754"/>
      <c r="D32" s="754"/>
      <c r="E32" s="69" t="s">
        <v>26</v>
      </c>
      <c r="F32" s="69" t="s">
        <v>27</v>
      </c>
      <c r="G32" s="69" t="s">
        <v>28</v>
      </c>
      <c r="H32" s="69" t="s">
        <v>30</v>
      </c>
      <c r="I32" s="87"/>
      <c r="J32" s="88"/>
    </row>
    <row r="33" spans="1:10" x14ac:dyDescent="0.2">
      <c r="A33" s="755" t="s">
        <v>560</v>
      </c>
      <c r="B33" s="756"/>
      <c r="C33" s="756"/>
      <c r="D33" s="757"/>
      <c r="E33" s="136"/>
      <c r="F33" s="136"/>
      <c r="G33" s="136"/>
      <c r="H33" s="136"/>
      <c r="I33" s="87" t="s">
        <v>475</v>
      </c>
      <c r="J33" s="88">
        <v>18</v>
      </c>
    </row>
    <row r="34" spans="1:10" x14ac:dyDescent="0.2">
      <c r="A34" s="155"/>
      <c r="B34" s="156"/>
      <c r="C34" s="156"/>
      <c r="D34" s="156"/>
      <c r="E34" s="157"/>
      <c r="F34" s="157"/>
      <c r="G34" s="157"/>
      <c r="H34" s="158"/>
      <c r="I34" s="87"/>
      <c r="J34" s="88"/>
    </row>
    <row r="35" spans="1:10" hidden="1" x14ac:dyDescent="0.2">
      <c r="A35" s="758" t="s">
        <v>87</v>
      </c>
      <c r="B35" s="759"/>
      <c r="C35" s="759"/>
      <c r="D35" s="759"/>
      <c r="E35" s="759"/>
      <c r="F35" s="759"/>
      <c r="G35" s="759"/>
      <c r="H35" s="760"/>
      <c r="I35" s="87" t="s">
        <v>11</v>
      </c>
      <c r="J35" s="88"/>
    </row>
    <row r="36" spans="1:10" x14ac:dyDescent="0.2">
      <c r="A36" s="739" t="s">
        <v>523</v>
      </c>
      <c r="B36" s="740"/>
      <c r="C36" s="740"/>
      <c r="D36" s="740"/>
      <c r="E36" s="740"/>
      <c r="F36" s="740"/>
      <c r="G36" s="740"/>
      <c r="H36" s="741"/>
      <c r="I36" s="87"/>
      <c r="J36" s="88"/>
    </row>
    <row r="37" spans="1:10" ht="226.5" customHeight="1" x14ac:dyDescent="0.2">
      <c r="A37" s="742"/>
      <c r="B37" s="743"/>
      <c r="C37" s="743"/>
      <c r="D37" s="743"/>
      <c r="E37" s="743"/>
      <c r="F37" s="743"/>
      <c r="G37" s="743"/>
      <c r="H37" s="744"/>
      <c r="I37" s="115" t="s">
        <v>476</v>
      </c>
      <c r="J37" s="116"/>
    </row>
    <row r="38" spans="1:10" hidden="1" x14ac:dyDescent="0.2">
      <c r="A38" s="4"/>
      <c r="B38" s="4"/>
      <c r="C38" s="4"/>
      <c r="D38" s="4"/>
      <c r="E38" s="4"/>
      <c r="F38" s="4"/>
      <c r="G38" s="4"/>
      <c r="H38" s="4"/>
    </row>
  </sheetData>
  <sheetProtection password="9A3D" sheet="1" objects="1" scenarios="1"/>
  <mergeCells count="30">
    <mergeCell ref="A8:H8"/>
    <mergeCell ref="A9:H9"/>
    <mergeCell ref="A12:D13"/>
    <mergeCell ref="A14:A18"/>
    <mergeCell ref="B14:C15"/>
    <mergeCell ref="B16:C17"/>
    <mergeCell ref="B18:D18"/>
    <mergeCell ref="E12:H12"/>
    <mergeCell ref="A6:H6"/>
    <mergeCell ref="A1:H1"/>
    <mergeCell ref="I1:J1"/>
    <mergeCell ref="A2:H2"/>
    <mergeCell ref="A3:H3"/>
    <mergeCell ref="A5:H5"/>
    <mergeCell ref="A19:A23"/>
    <mergeCell ref="B19:C20"/>
    <mergeCell ref="B21:C22"/>
    <mergeCell ref="B23:D23"/>
    <mergeCell ref="A24:A26"/>
    <mergeCell ref="B24:D24"/>
    <mergeCell ref="B25:D25"/>
    <mergeCell ref="B26:D26"/>
    <mergeCell ref="A36:H36"/>
    <mergeCell ref="A37:H37"/>
    <mergeCell ref="B27:D27"/>
    <mergeCell ref="A28:D28"/>
    <mergeCell ref="A31:D32"/>
    <mergeCell ref="A33:D33"/>
    <mergeCell ref="A35:H35"/>
    <mergeCell ref="E31:H31"/>
  </mergeCells>
  <conditionalFormatting sqref="A6">
    <cfRule type="expression" dxfId="16" priority="1">
      <formula>IF($K$6="FAILED",TRUE,FALSE)</formula>
    </cfRule>
    <cfRule type="expression" dxfId="15" priority="2">
      <formula>IF($K$6="PASSED",TRUE,FALSE)</formula>
    </cfRule>
  </conditionalFormatting>
  <dataValidations count="1">
    <dataValidation type="decimal" operator="greaterThanOrEqual" allowBlank="1" showInputMessage="1" showErrorMessage="1" sqref="E33:H33 E14:H29" xr:uid="{00000000-0002-0000-0700-000000000000}">
      <formula1>0</formula1>
    </dataValidation>
  </dataValidation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54"/>
  <sheetViews>
    <sheetView zoomScaleNormal="100" workbookViewId="0">
      <selection sqref="A1:E1"/>
    </sheetView>
  </sheetViews>
  <sheetFormatPr defaultColWidth="0" defaultRowHeight="12.75" zeroHeight="1" x14ac:dyDescent="0.2"/>
  <cols>
    <col min="1" max="1" width="56.5703125" style="32" customWidth="1"/>
    <col min="2" max="4" width="20.7109375" style="32" customWidth="1"/>
    <col min="5" max="5" width="20.140625" style="32" customWidth="1"/>
    <col min="6" max="6" width="9" style="57" hidden="1" customWidth="1"/>
    <col min="7" max="16384" width="9.140625" style="35" hidden="1"/>
  </cols>
  <sheetData>
    <row r="1" spans="1:6" s="340" customFormat="1" ht="30.75" customHeight="1" x14ac:dyDescent="0.2">
      <c r="A1" s="794" t="s">
        <v>568</v>
      </c>
      <c r="B1" s="795"/>
      <c r="C1" s="795"/>
      <c r="D1" s="795"/>
      <c r="E1" s="796"/>
      <c r="F1" s="165" t="s">
        <v>116</v>
      </c>
    </row>
    <row r="2" spans="1:6" s="341" customFormat="1" ht="18.75" customHeight="1" x14ac:dyDescent="0.25">
      <c r="A2" s="797" t="str">
        <f>Contact!A2</f>
        <v>Institution name: Derby College</v>
      </c>
      <c r="B2" s="798"/>
      <c r="C2" s="798"/>
      <c r="D2" s="798"/>
      <c r="E2" s="799"/>
      <c r="F2" s="166"/>
    </row>
    <row r="3" spans="1:6" s="341" customFormat="1" ht="18.75" customHeight="1" x14ac:dyDescent="0.25">
      <c r="A3" s="800" t="str">
        <f>Contact!A3</f>
        <v>Institution UKPRN: 10001919</v>
      </c>
      <c r="B3" s="801"/>
      <c r="C3" s="801"/>
      <c r="D3" s="801"/>
      <c r="E3" s="802"/>
      <c r="F3" s="166"/>
    </row>
    <row r="4" spans="1:6" s="340" customFormat="1" ht="18.75" hidden="1" customHeight="1" x14ac:dyDescent="0.25">
      <c r="A4" s="167"/>
      <c r="B4" s="169"/>
      <c r="C4" s="168"/>
      <c r="D4" s="168"/>
      <c r="E4" s="170"/>
      <c r="F4" s="171"/>
    </row>
    <row r="5" spans="1:6" s="340" customFormat="1" ht="18.75" hidden="1" customHeight="1" x14ac:dyDescent="0.25">
      <c r="A5" s="803" t="s">
        <v>60</v>
      </c>
      <c r="B5" s="804"/>
      <c r="C5" s="804"/>
      <c r="D5" s="804"/>
      <c r="E5" s="805"/>
      <c r="F5" s="171"/>
    </row>
    <row r="6" spans="1:6" s="340" customFormat="1" ht="14.25" hidden="1" x14ac:dyDescent="0.25">
      <c r="A6" s="806" t="s">
        <v>450</v>
      </c>
      <c r="B6" s="807"/>
      <c r="C6" s="807"/>
      <c r="D6" s="807"/>
      <c r="E6" s="808"/>
      <c r="F6" s="171"/>
    </row>
    <row r="7" spans="1:6" s="340" customFormat="1" ht="15" customHeight="1" x14ac:dyDescent="0.25">
      <c r="A7" s="172"/>
      <c r="B7" s="173"/>
      <c r="C7" s="173"/>
      <c r="D7" s="173"/>
      <c r="E7" s="174"/>
      <c r="F7" s="171"/>
    </row>
    <row r="8" spans="1:6" ht="30.75" customHeight="1" x14ac:dyDescent="0.2">
      <c r="A8" s="809" t="s">
        <v>561</v>
      </c>
      <c r="B8" s="698" t="s">
        <v>80</v>
      </c>
      <c r="C8" s="698"/>
      <c r="D8" s="698"/>
      <c r="E8" s="699"/>
      <c r="F8" s="175"/>
    </row>
    <row r="9" spans="1:6" ht="25.5" customHeight="1" x14ac:dyDescent="0.2">
      <c r="A9" s="810"/>
      <c r="B9" s="423" t="s">
        <v>26</v>
      </c>
      <c r="C9" s="423" t="s">
        <v>27</v>
      </c>
      <c r="D9" s="423" t="s">
        <v>28</v>
      </c>
      <c r="E9" s="423" t="s">
        <v>30</v>
      </c>
      <c r="F9" s="175"/>
    </row>
    <row r="10" spans="1:6" ht="22.5" customHeight="1" x14ac:dyDescent="0.2">
      <c r="A10" s="208" t="s">
        <v>524</v>
      </c>
      <c r="B10" s="176">
        <f>'Activity Investment'!C16</f>
        <v>26000</v>
      </c>
      <c r="C10" s="176">
        <f>'Activity Investment'!D16</f>
        <v>32000</v>
      </c>
      <c r="D10" s="176">
        <f>'Activity Investment'!E16</f>
        <v>35000</v>
      </c>
      <c r="E10" s="176">
        <f>'Activity Investment'!F16</f>
        <v>38000</v>
      </c>
      <c r="F10" s="175"/>
    </row>
    <row r="11" spans="1:6" ht="22.5" customHeight="1" x14ac:dyDescent="0.2">
      <c r="A11" s="209" t="s">
        <v>550</v>
      </c>
      <c r="B11" s="177">
        <f>'Activity Investment'!C18</f>
        <v>28190</v>
      </c>
      <c r="C11" s="177">
        <f>'Activity Investment'!D18</f>
        <v>34010</v>
      </c>
      <c r="D11" s="177">
        <f>'Activity Investment'!E18</f>
        <v>37665</v>
      </c>
      <c r="E11" s="177">
        <f>'Activity Investment'!F18</f>
        <v>42385</v>
      </c>
      <c r="F11" s="175"/>
    </row>
    <row r="12" spans="1:6" ht="22.5" customHeight="1" x14ac:dyDescent="0.2">
      <c r="A12" s="210" t="s">
        <v>525</v>
      </c>
      <c r="B12" s="178">
        <f>'Activity Investment'!C20</f>
        <v>6000</v>
      </c>
      <c r="C12" s="178">
        <f>'Activity Investment'!D20</f>
        <v>8000</v>
      </c>
      <c r="D12" s="178">
        <f>'Activity Investment'!E20</f>
        <v>10000</v>
      </c>
      <c r="E12" s="178">
        <f>'Activity Investment'!F20</f>
        <v>12000</v>
      </c>
      <c r="F12" s="175"/>
    </row>
    <row r="13" spans="1:6" ht="22.5" customHeight="1" thickBot="1" x14ac:dyDescent="0.25">
      <c r="A13" s="211" t="s">
        <v>554</v>
      </c>
      <c r="B13" s="179">
        <f>'Financial Support'!E28</f>
        <v>23000</v>
      </c>
      <c r="C13" s="179">
        <f>'Financial Support'!F28</f>
        <v>28000</v>
      </c>
      <c r="D13" s="179">
        <f>'Financial Support'!G28</f>
        <v>33000</v>
      </c>
      <c r="E13" s="179">
        <f>'Financial Support'!H28</f>
        <v>38000</v>
      </c>
      <c r="F13" s="175"/>
    </row>
    <row r="14" spans="1:6" s="350" customFormat="1" ht="22.5" customHeight="1" thickTop="1" x14ac:dyDescent="0.2">
      <c r="A14" s="200" t="s">
        <v>526</v>
      </c>
      <c r="B14" s="180">
        <f>SUM(B10:B13)</f>
        <v>83190</v>
      </c>
      <c r="C14" s="180">
        <f>SUM(C10:C13)</f>
        <v>102010</v>
      </c>
      <c r="D14" s="180">
        <f>SUM(D10:D13)</f>
        <v>115665</v>
      </c>
      <c r="E14" s="180">
        <f>SUM(E10:E13)</f>
        <v>130385</v>
      </c>
      <c r="F14" s="175"/>
    </row>
    <row r="15" spans="1:6" ht="22.5" customHeight="1" x14ac:dyDescent="0.2">
      <c r="A15" s="811"/>
      <c r="B15" s="812"/>
      <c r="C15" s="812"/>
      <c r="D15" s="812"/>
      <c r="E15" s="813"/>
      <c r="F15" s="175"/>
    </row>
    <row r="16" spans="1:6" ht="30" customHeight="1" x14ac:dyDescent="0.2">
      <c r="A16" s="814" t="s">
        <v>562</v>
      </c>
      <c r="B16" s="698" t="s">
        <v>80</v>
      </c>
      <c r="C16" s="698"/>
      <c r="D16" s="698"/>
      <c r="E16" s="699"/>
      <c r="F16" s="175"/>
    </row>
    <row r="17" spans="1:6" ht="37.5" customHeight="1" x14ac:dyDescent="0.2">
      <c r="A17" s="815"/>
      <c r="B17" s="423" t="s">
        <v>26</v>
      </c>
      <c r="C17" s="423" t="s">
        <v>27</v>
      </c>
      <c r="D17" s="423" t="s">
        <v>28</v>
      </c>
      <c r="E17" s="423" t="s">
        <v>30</v>
      </c>
      <c r="F17" s="175"/>
    </row>
    <row r="18" spans="1:6" ht="22.5" customHeight="1" x14ac:dyDescent="0.2">
      <c r="A18" s="203" t="s">
        <v>117</v>
      </c>
      <c r="B18" s="181">
        <f>'Students &amp; Income'!D26</f>
        <v>198072</v>
      </c>
      <c r="C18" s="181">
        <f>'Students &amp; Income'!E26</f>
        <v>242088</v>
      </c>
      <c r="D18" s="181">
        <f>'Students &amp; Income'!F26</f>
        <v>265930</v>
      </c>
      <c r="E18" s="181">
        <f>'Students &amp; Income'!G26</f>
        <v>297108</v>
      </c>
      <c r="F18" s="175"/>
    </row>
    <row r="19" spans="1:6" ht="22.5" customHeight="1" x14ac:dyDescent="0.2">
      <c r="A19" s="204" t="s">
        <v>527</v>
      </c>
      <c r="B19" s="182">
        <f t="shared" ref="B19:E23" si="0">IF(B$18=0,"",100*B10/B$18)</f>
        <v>13.126539844097096</v>
      </c>
      <c r="C19" s="182">
        <f t="shared" si="0"/>
        <v>13.218333829020851</v>
      </c>
      <c r="D19" s="182">
        <f t="shared" si="0"/>
        <v>13.161358252171624</v>
      </c>
      <c r="E19" s="182">
        <f t="shared" si="0"/>
        <v>12.789961899376658</v>
      </c>
      <c r="F19" s="175"/>
    </row>
    <row r="20" spans="1:6" ht="22.5" customHeight="1" x14ac:dyDescent="0.2">
      <c r="A20" s="205" t="s">
        <v>549</v>
      </c>
      <c r="B20" s="183">
        <f t="shared" si="0"/>
        <v>14.232198392503737</v>
      </c>
      <c r="C20" s="183">
        <f t="shared" si="0"/>
        <v>14.048610422656225</v>
      </c>
      <c r="D20" s="183">
        <f t="shared" si="0"/>
        <v>14.163501673372693</v>
      </c>
      <c r="E20" s="183">
        <f t="shared" si="0"/>
        <v>14.26585618697578</v>
      </c>
      <c r="F20" s="175"/>
    </row>
    <row r="21" spans="1:6" ht="22.5" customHeight="1" x14ac:dyDescent="0.2">
      <c r="A21" s="206" t="s">
        <v>528</v>
      </c>
      <c r="B21" s="184">
        <f t="shared" si="0"/>
        <v>3.0292015024839452</v>
      </c>
      <c r="C21" s="184">
        <f t="shared" si="0"/>
        <v>3.3045834572552129</v>
      </c>
      <c r="D21" s="184">
        <f t="shared" si="0"/>
        <v>3.7603880720490355</v>
      </c>
      <c r="E21" s="184">
        <f t="shared" si="0"/>
        <v>4.0389353366452605</v>
      </c>
      <c r="F21" s="175"/>
    </row>
    <row r="22" spans="1:6" ht="22.5" customHeight="1" thickBot="1" x14ac:dyDescent="0.25">
      <c r="A22" s="207" t="s">
        <v>555</v>
      </c>
      <c r="B22" s="185">
        <f t="shared" si="0"/>
        <v>11.611939092855124</v>
      </c>
      <c r="C22" s="185">
        <f t="shared" si="0"/>
        <v>11.566042100393245</v>
      </c>
      <c r="D22" s="185">
        <f t="shared" si="0"/>
        <v>12.409280637761817</v>
      </c>
      <c r="E22" s="185">
        <f t="shared" si="0"/>
        <v>12.789961899376658</v>
      </c>
      <c r="F22" s="175"/>
    </row>
    <row r="23" spans="1:6" s="350" customFormat="1" ht="22.5" customHeight="1" thickTop="1" x14ac:dyDescent="0.2">
      <c r="A23" s="201" t="s">
        <v>529</v>
      </c>
      <c r="B23" s="186">
        <f t="shared" si="0"/>
        <v>41.999878831939903</v>
      </c>
      <c r="C23" s="186">
        <f t="shared" si="0"/>
        <v>42.137569809325534</v>
      </c>
      <c r="D23" s="186">
        <f t="shared" si="0"/>
        <v>43.494528635355167</v>
      </c>
      <c r="E23" s="186">
        <f t="shared" si="0"/>
        <v>43.884715322374355</v>
      </c>
      <c r="F23" s="175"/>
    </row>
    <row r="24" spans="1:6" ht="24" customHeight="1" x14ac:dyDescent="0.2">
      <c r="A24" s="187"/>
      <c r="B24" s="188"/>
      <c r="C24" s="188"/>
      <c r="D24" s="188"/>
      <c r="E24" s="189"/>
      <c r="F24" s="175"/>
    </row>
    <row r="25" spans="1:6" s="351" customFormat="1" ht="30" customHeight="1" x14ac:dyDescent="0.25">
      <c r="A25" s="202" t="s">
        <v>449</v>
      </c>
      <c r="B25" s="69" t="s">
        <v>26</v>
      </c>
      <c r="C25" s="190"/>
      <c r="D25" s="191"/>
      <c r="E25" s="192"/>
      <c r="F25" s="175"/>
    </row>
    <row r="26" spans="1:6" s="351" customFormat="1" ht="22.5" customHeight="1" x14ac:dyDescent="0.25">
      <c r="A26" s="161" t="s">
        <v>118</v>
      </c>
      <c r="B26" s="193">
        <f>IF('Students &amp; Income'!$D15=0,0,(SUM(SUMPRODUCT('FT Fee (Franchise)'!E19:E168,'FT Fee (Franchise)'!J19:J168),(SUMPRODUCT('FT Fee'!I22:I171,'FT Fee'!D22:D171)))/SUM('Students &amp; Income'!$D15)))</f>
        <v>6929.7567567567567</v>
      </c>
      <c r="C26" s="190"/>
      <c r="D26" s="194"/>
      <c r="E26" s="195"/>
      <c r="F26" s="175"/>
    </row>
    <row r="27" spans="1:6" s="351" customFormat="1" ht="22.5" customHeight="1" x14ac:dyDescent="0.25">
      <c r="A27" s="422" t="s">
        <v>119</v>
      </c>
      <c r="B27" s="196">
        <f>IF('Students &amp; Income'!$D15=0,0,((SUM(SUMPRODUCT('FT Fee (Franchise)'!E19:E168,'FT Fee (Franchise)'!J19:J168),(SUMPRODUCT('FT Fee'!I22:I171,'FT Fee'!D22:D171)))-SUM('Financial Support'!$E$14,'Financial Support'!$E$15))/SUM('Students &amp; Income'!$D15)))</f>
        <v>6929.7567567567567</v>
      </c>
      <c r="C27" s="190"/>
      <c r="D27" s="98"/>
      <c r="E27" s="125"/>
      <c r="F27" s="175"/>
    </row>
    <row r="28" spans="1:6" s="351" customFormat="1" ht="22.5" customHeight="1" x14ac:dyDescent="0.25">
      <c r="A28" s="162" t="s">
        <v>120</v>
      </c>
      <c r="B28" s="197">
        <f>IF('Students &amp; Income'!D15&gt;0,MAX('FT Fee (Franchise)'!J19:J319),0)</f>
        <v>7999</v>
      </c>
      <c r="C28" s="190"/>
      <c r="D28" s="194"/>
      <c r="E28" s="195"/>
      <c r="F28" s="175"/>
    </row>
    <row r="29" spans="1:6" s="351" customFormat="1" ht="25.5" customHeight="1" x14ac:dyDescent="0.2">
      <c r="A29" s="157"/>
      <c r="B29" s="190"/>
      <c r="C29" s="190"/>
      <c r="D29" s="194"/>
      <c r="E29" s="195"/>
      <c r="F29" s="175"/>
    </row>
    <row r="30" spans="1:6" s="351" customFormat="1" ht="18" hidden="1" customHeight="1" x14ac:dyDescent="0.25">
      <c r="A30" s="606" t="s">
        <v>87</v>
      </c>
      <c r="B30" s="607"/>
      <c r="C30" s="607"/>
      <c r="D30" s="607"/>
      <c r="E30" s="608"/>
      <c r="F30" s="175" t="s">
        <v>11</v>
      </c>
    </row>
    <row r="31" spans="1:6" ht="30" customHeight="1" x14ac:dyDescent="0.2">
      <c r="A31" s="816" t="s">
        <v>121</v>
      </c>
      <c r="B31" s="817"/>
      <c r="C31" s="817"/>
      <c r="D31" s="817"/>
      <c r="E31" s="818"/>
      <c r="F31" s="175"/>
    </row>
    <row r="32" spans="1:6" ht="300" customHeight="1" x14ac:dyDescent="0.2">
      <c r="A32" s="791"/>
      <c r="B32" s="792"/>
      <c r="C32" s="792"/>
      <c r="D32" s="792"/>
      <c r="E32" s="793"/>
      <c r="F32" s="198" t="s">
        <v>150</v>
      </c>
    </row>
    <row r="33" spans="1:6" s="352" customFormat="1" ht="18.75" hidden="1" customHeight="1" x14ac:dyDescent="0.25">
      <c r="A33" s="32"/>
      <c r="B33" s="32"/>
      <c r="C33" s="32"/>
      <c r="D33" s="32"/>
      <c r="E33" s="32"/>
      <c r="F33" s="199"/>
    </row>
    <row r="34" spans="1:6" s="352" customFormat="1" ht="16.5" hidden="1" customHeight="1" x14ac:dyDescent="0.25">
      <c r="A34" s="32"/>
      <c r="B34" s="32"/>
      <c r="C34" s="32"/>
      <c r="D34" s="32"/>
      <c r="E34" s="32"/>
      <c r="F34" s="199"/>
    </row>
    <row r="35" spans="1:6" ht="16.5" hidden="1" customHeight="1" x14ac:dyDescent="0.2"/>
    <row r="36" spans="1:6" ht="16.5" hidden="1" customHeight="1" x14ac:dyDescent="0.2"/>
    <row r="37" spans="1:6" ht="16.5" hidden="1" customHeight="1" x14ac:dyDescent="0.2"/>
    <row r="38" spans="1:6" ht="16.5" hidden="1" customHeight="1" x14ac:dyDescent="0.2"/>
    <row r="39" spans="1:6" ht="16.5" hidden="1" customHeight="1" x14ac:dyDescent="0.2"/>
    <row r="40" spans="1:6" ht="16.5" hidden="1" customHeight="1" x14ac:dyDescent="0.2"/>
    <row r="41" spans="1:6" ht="16.5" hidden="1" customHeight="1" x14ac:dyDescent="0.2"/>
    <row r="42" spans="1:6" ht="16.5" hidden="1" customHeight="1" x14ac:dyDescent="0.2"/>
    <row r="43" spans="1:6" ht="16.5" hidden="1" customHeight="1" x14ac:dyDescent="0.2"/>
    <row r="44" spans="1:6" ht="16.5" hidden="1" customHeight="1" x14ac:dyDescent="0.2"/>
    <row r="45" spans="1:6" ht="16.5" hidden="1" customHeight="1" x14ac:dyDescent="0.2"/>
    <row r="46" spans="1:6" ht="16.5" hidden="1" customHeight="1" x14ac:dyDescent="0.2"/>
    <row r="47" spans="1:6" ht="16.5" hidden="1" customHeight="1" x14ac:dyDescent="0.2"/>
    <row r="48" spans="1:6" ht="16.5" hidden="1" customHeight="1" x14ac:dyDescent="0.2"/>
    <row r="49" spans="1:6" ht="16.5" hidden="1" customHeight="1" x14ac:dyDescent="0.2"/>
    <row r="50" spans="1:6" ht="16.5" hidden="1" customHeight="1" x14ac:dyDescent="0.2"/>
    <row r="51" spans="1:6" s="351" customFormat="1" ht="16.5" hidden="1" customHeight="1" x14ac:dyDescent="0.2">
      <c r="A51" s="32"/>
      <c r="B51" s="32"/>
      <c r="C51" s="32"/>
      <c r="D51" s="32"/>
      <c r="E51" s="32"/>
      <c r="F51" s="57"/>
    </row>
    <row r="52" spans="1:6" s="351" customFormat="1" hidden="1" x14ac:dyDescent="0.2">
      <c r="A52" s="32"/>
      <c r="B52" s="32"/>
      <c r="C52" s="32"/>
      <c r="D52" s="32"/>
      <c r="E52" s="32"/>
      <c r="F52" s="57"/>
    </row>
    <row r="53" spans="1:6" s="351" customFormat="1" hidden="1" x14ac:dyDescent="0.2">
      <c r="A53" s="32"/>
      <c r="B53" s="32"/>
      <c r="C53" s="32"/>
      <c r="D53" s="32"/>
      <c r="E53" s="32"/>
      <c r="F53" s="57"/>
    </row>
    <row r="54" spans="1:6" s="351" customFormat="1" hidden="1" x14ac:dyDescent="0.2">
      <c r="A54" s="32"/>
      <c r="B54" s="32"/>
      <c r="C54" s="32"/>
      <c r="D54" s="32"/>
      <c r="E54" s="32"/>
      <c r="F54" s="57"/>
    </row>
  </sheetData>
  <sheetProtection password="9A3D" sheet="1" objects="1" scenarios="1"/>
  <mergeCells count="13">
    <mergeCell ref="A32:E32"/>
    <mergeCell ref="A1:E1"/>
    <mergeCell ref="A2:E2"/>
    <mergeCell ref="A3:E3"/>
    <mergeCell ref="A5:E5"/>
    <mergeCell ref="A6:E6"/>
    <mergeCell ref="A8:A9"/>
    <mergeCell ref="B8:E8"/>
    <mergeCell ref="A15:E15"/>
    <mergeCell ref="A16:A17"/>
    <mergeCell ref="B16:E16"/>
    <mergeCell ref="A30:E30"/>
    <mergeCell ref="A31:E3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3646E4923AD834F89807207D8A3B942" ma:contentTypeVersion="15" ma:contentTypeDescription="Create a new document." ma:contentTypeScope="" ma:versionID="ccd2aadca68e2592a120dc009b53b449">
  <xsd:schema xmlns:xsd="http://www.w3.org/2001/XMLSchema" xmlns:xs="http://www.w3.org/2001/XMLSchema" xmlns:p="http://schemas.microsoft.com/office/2006/metadata/properties" xmlns:ns2="07b890db-b7db-410d-8bd2-08742e353839" xmlns:ns3="f6cb0485-5fae-4375-8ac9-3e114790ed99" targetNamespace="http://schemas.microsoft.com/office/2006/metadata/properties" ma:root="true" ma:fieldsID="0153d1cf9da110360bbc5bc498fcb3b5" ns2:_="" ns3:_="">
    <xsd:import namespace="07b890db-b7db-410d-8bd2-08742e353839"/>
    <xsd:import namespace="f6cb0485-5fae-4375-8ac9-3e114790ed9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MediaLengthInSeconds" minOccurs="0"/>
                <xsd:element ref="ns2:Statu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7b890db-b7db-410d-8bd2-08742e3538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Status" ma:index="21" nillable="true" ma:displayName="Status (Webdev Only)" ma:default="Not done" ma:description="Status of the landing page" ma:format="Dropdown" ma:internalName="Status">
      <xsd:simpleType>
        <xsd:restriction base="dms:Choice">
          <xsd:enumeration value="Not done"/>
          <xsd:enumeration value="Working on"/>
          <xsd:enumeration value="Landing Page Completed"/>
          <xsd:enumeration value="Completed"/>
          <xsd:enumeration value="NA"/>
        </xsd:restriction>
      </xsd:simpleType>
    </xsd:element>
    <xsd:element name="Notes" ma:index="22" nillable="true" ma:displayName="Notes" ma:description="To add notes about the work that has been done" ma:format="Dropdown" ma:internalName="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cb0485-5fae-4375-8ac9-3e114790ed99"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07b890db-b7db-410d-8bd2-08742e353839" xsi:nil="true"/>
    <Status xmlns="07b890db-b7db-410d-8bd2-08742e353839">Not done</Status>
  </documentManagement>
</p:properties>
</file>

<file path=customXml/itemProps1.xml><?xml version="1.0" encoding="utf-8"?>
<ds:datastoreItem xmlns:ds="http://schemas.openxmlformats.org/officeDocument/2006/customXml" ds:itemID="{E1B9790C-EF33-4676-A719-5E50D4398863}"/>
</file>

<file path=customXml/itemProps2.xml><?xml version="1.0" encoding="utf-8"?>
<ds:datastoreItem xmlns:ds="http://schemas.openxmlformats.org/officeDocument/2006/customXml" ds:itemID="{4A4C4E08-7714-4512-9BF6-E639662525C4}"/>
</file>

<file path=customXml/itemProps3.xml><?xml version="1.0" encoding="utf-8"?>
<ds:datastoreItem xmlns:ds="http://schemas.openxmlformats.org/officeDocument/2006/customXml" ds:itemID="{5BC4FF07-63BA-4007-8E38-8451C819244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148</vt:i4>
      </vt:variant>
    </vt:vector>
  </HeadingPairs>
  <TitlesOfParts>
    <vt:vector size="163" baseType="lpstr">
      <vt:lpstr>Contact</vt:lpstr>
      <vt:lpstr>FT Fee</vt:lpstr>
      <vt:lpstr>FT Fee (Franchise)</vt:lpstr>
      <vt:lpstr>PT Fee</vt:lpstr>
      <vt:lpstr>Fee Summary</vt:lpstr>
      <vt:lpstr>Students &amp; Income</vt:lpstr>
      <vt:lpstr>Activity Investment</vt:lpstr>
      <vt:lpstr>Financial Support</vt:lpstr>
      <vt:lpstr>Investment Summary</vt:lpstr>
      <vt:lpstr>Targets &amp; Milestones</vt:lpstr>
      <vt:lpstr>Sponsorship arrangements</vt:lpstr>
      <vt:lpstr>Validation</vt:lpstr>
      <vt:lpstr>Assurance</vt:lpstr>
      <vt:lpstr>DropDown</vt:lpstr>
      <vt:lpstr>FeeLookup</vt:lpstr>
      <vt:lpstr>'Fee Summary'!Extract</vt:lpstr>
      <vt:lpstr>'Fee Summary'!FL_rates</vt:lpstr>
      <vt:lpstr>'FT Fee'!FL_rates</vt:lpstr>
      <vt:lpstr>'FT Fee (Franchise)'!FL_rates</vt:lpstr>
      <vt:lpstr>'PT Fee'!FL_rates</vt:lpstr>
      <vt:lpstr>'Sponsorship arrangements'!FL_rates</vt:lpstr>
      <vt:lpstr>FL_rates</vt:lpstr>
      <vt:lpstr>'Fee Summary'!FTF_course_type</vt:lpstr>
      <vt:lpstr>'FT Fee'!FTF_course_type</vt:lpstr>
      <vt:lpstr>'FT Fee (Franchise)'!FTF_course_type</vt:lpstr>
      <vt:lpstr>'PT Fee'!FTF_course_type</vt:lpstr>
      <vt:lpstr>'Sponsorship arrangements'!FTF_course_type</vt:lpstr>
      <vt:lpstr>FTF_course_type</vt:lpstr>
      <vt:lpstr>'Fee Summary'!GEN_yes_no</vt:lpstr>
      <vt:lpstr>'FT Fee'!GEN_yes_no</vt:lpstr>
      <vt:lpstr>'FT Fee (Franchise)'!GEN_yes_no</vt:lpstr>
      <vt:lpstr>'PT Fee'!GEN_yes_no</vt:lpstr>
      <vt:lpstr>'Sponsorship arrangements'!GEN_yes_no</vt:lpstr>
      <vt:lpstr>GEN_yes_no</vt:lpstr>
      <vt:lpstr>inst_name</vt:lpstr>
      <vt:lpstr>inst_ukprn</vt:lpstr>
      <vt:lpstr>MILE_7a</vt:lpstr>
      <vt:lpstr>MILE_7a_other</vt:lpstr>
      <vt:lpstr>MILE_7a_prefill</vt:lpstr>
      <vt:lpstr>MILE_7a_sql</vt:lpstr>
      <vt:lpstr>MILE_7b</vt:lpstr>
      <vt:lpstr>MILE_7b_other</vt:lpstr>
      <vt:lpstr>MILE_7b_prefill</vt:lpstr>
      <vt:lpstr>MILE_7b_sql</vt:lpstr>
      <vt:lpstr>'Fee Summary'!MILE_base_yr</vt:lpstr>
      <vt:lpstr>'FT Fee'!MILE_base_yr</vt:lpstr>
      <vt:lpstr>'FT Fee (Franchise)'!MILE_base_yr</vt:lpstr>
      <vt:lpstr>'PT Fee'!MILE_base_yr</vt:lpstr>
      <vt:lpstr>'Sponsorship arrangements'!MILE_base_yr</vt:lpstr>
      <vt:lpstr>MILE_base_yr</vt:lpstr>
      <vt:lpstr>'Fee Summary'!MILE_lifecycle_stage</vt:lpstr>
      <vt:lpstr>'FT Fee'!MILE_lifecycle_stage</vt:lpstr>
      <vt:lpstr>'FT Fee (Franchise)'!MILE_lifecycle_stage</vt:lpstr>
      <vt:lpstr>'PT Fee'!MILE_lifecycle_stage</vt:lpstr>
      <vt:lpstr>'Sponsorship arrangements'!MILE_lifecycle_stage</vt:lpstr>
      <vt:lpstr>MILE_lifecycle_stage</vt:lpstr>
      <vt:lpstr>'Fee Summary'!MILE_target_type</vt:lpstr>
      <vt:lpstr>'FT Fee'!MILE_target_type</vt:lpstr>
      <vt:lpstr>'FT Fee (Franchise)'!MILE_target_type</vt:lpstr>
      <vt:lpstr>'PT Fee'!MILE_target_type</vt:lpstr>
      <vt:lpstr>'Sponsorship arrangements'!MILE_target_type</vt:lpstr>
      <vt:lpstr>MILE_target_type</vt:lpstr>
      <vt:lpstr>'Fee Summary'!MILE_target_type_general</vt:lpstr>
      <vt:lpstr>'FT Fee'!MILE_target_type_general</vt:lpstr>
      <vt:lpstr>'FT Fee (Franchise)'!MILE_target_type_general</vt:lpstr>
      <vt:lpstr>'PT Fee'!MILE_target_type_general</vt:lpstr>
      <vt:lpstr>'Sponsorship arrangements'!MILE_target_type_general</vt:lpstr>
      <vt:lpstr>MILE_target_type_general</vt:lpstr>
      <vt:lpstr>'Fee Summary'!MILE_val_choice</vt:lpstr>
      <vt:lpstr>'FT Fee'!MILE_val_choice</vt:lpstr>
      <vt:lpstr>'FT Fee (Franchise)'!MILE_val_choice</vt:lpstr>
      <vt:lpstr>'PT Fee'!MILE_val_choice</vt:lpstr>
      <vt:lpstr>'Sponsorship arrangements'!MILE_val_choice</vt:lpstr>
      <vt:lpstr>MILE_val_choice</vt:lpstr>
      <vt:lpstr>'Sponsorship arrangements'!New_Cont</vt:lpstr>
      <vt:lpstr>New_Cont</vt:lpstr>
      <vt:lpstr>Phase</vt:lpstr>
      <vt:lpstr>'Fee Summary'!PTF_course_type</vt:lpstr>
      <vt:lpstr>'FT Fee'!PTF_course_type</vt:lpstr>
      <vt:lpstr>'FT Fee (Franchise)'!PTF_course_type</vt:lpstr>
      <vt:lpstr>'PT Fee'!PTF_course_type</vt:lpstr>
      <vt:lpstr>'Sponsorship arrangements'!PTF_course_type</vt:lpstr>
      <vt:lpstr>PTF_course_type</vt:lpstr>
      <vt:lpstr>Sponsor_rel</vt:lpstr>
      <vt:lpstr>Sponsor_type</vt:lpstr>
      <vt:lpstr>T_AEXP_COL</vt:lpstr>
      <vt:lpstr>T_AEXP_COMM_COL</vt:lpstr>
      <vt:lpstr>T_AEXP_COMM_ROW</vt:lpstr>
      <vt:lpstr>T_AEXP_COMM_ROWV</vt:lpstr>
      <vt:lpstr>T_AEXP_PG</vt:lpstr>
      <vt:lpstr>T_AEXP_ROW</vt:lpstr>
      <vt:lpstr>T_AEXP_ROWV</vt:lpstr>
      <vt:lpstr>T_ASSUR_COL</vt:lpstr>
      <vt:lpstr>T_ASSUR_ROW</vt:lpstr>
      <vt:lpstr>T_ASSUR_ROWV</vt:lpstr>
      <vt:lpstr>T_ATTRA_COL</vt:lpstr>
      <vt:lpstr>T_ATTRA_COMM_COL</vt:lpstr>
      <vt:lpstr>T_ATTRA_COMM_ROW</vt:lpstr>
      <vt:lpstr>T_ATTRA_COMM_ROWV</vt:lpstr>
      <vt:lpstr>T_ATTRA_ROW</vt:lpstr>
      <vt:lpstr>T_ATTRA_ROWV</vt:lpstr>
      <vt:lpstr>T_ATTRA2_COL</vt:lpstr>
      <vt:lpstr>T_ATTRA2_ROW</vt:lpstr>
      <vt:lpstr>T_ATTRA2_ROWV</vt:lpstr>
      <vt:lpstr>T_CON_COL</vt:lpstr>
      <vt:lpstr>T_CON_ROW</vt:lpstr>
      <vt:lpstr>T_CON_ROWV</vt:lpstr>
      <vt:lpstr>T_CON2_COL</vt:lpstr>
      <vt:lpstr>T_CON2_ROW</vt:lpstr>
      <vt:lpstr>T_CON2_ROWV</vt:lpstr>
      <vt:lpstr>T_FEESUM_COL</vt:lpstr>
      <vt:lpstr>T_FEESUM_INFLATION_COL</vt:lpstr>
      <vt:lpstr>T_FEESUM_INFLATION_ROW</vt:lpstr>
      <vt:lpstr>T_FEESUM_INFLATION_ROWV</vt:lpstr>
      <vt:lpstr>T_FEESUM_ROW</vt:lpstr>
      <vt:lpstr>T_FEESUM_ROWV</vt:lpstr>
      <vt:lpstr>T_FINS_COL</vt:lpstr>
      <vt:lpstr>T_FINS_COMM_COL</vt:lpstr>
      <vt:lpstr>T_FINS_COMM_ROW</vt:lpstr>
      <vt:lpstr>T_FINS_COMM_ROWV</vt:lpstr>
      <vt:lpstr>T_FINS_PG</vt:lpstr>
      <vt:lpstr>T_FINS_ROW</vt:lpstr>
      <vt:lpstr>T_FINS_ROWV</vt:lpstr>
      <vt:lpstr>T_FTF_COL</vt:lpstr>
      <vt:lpstr>T_FTF_COL_TEF</vt:lpstr>
      <vt:lpstr>T_FTF_ROW</vt:lpstr>
      <vt:lpstr>T_FTF_ROW_TEF</vt:lpstr>
      <vt:lpstr>T_FTF_ROWV</vt:lpstr>
      <vt:lpstr>T_FTF_ROWV_TEF</vt:lpstr>
      <vt:lpstr>T_FTFFR_COL</vt:lpstr>
      <vt:lpstr>T_FTFFR_ROW</vt:lpstr>
      <vt:lpstr>T_FTFFR_ROWV</vt:lpstr>
      <vt:lpstr>T_MILE_COL</vt:lpstr>
      <vt:lpstr>T_MILE_COMM_COL</vt:lpstr>
      <vt:lpstr>T_MILE_COMM_ROW</vt:lpstr>
      <vt:lpstr>T_MILE_COMM_ROWV</vt:lpstr>
      <vt:lpstr>T_MILE_ROW1</vt:lpstr>
      <vt:lpstr>T_MILE_ROW2</vt:lpstr>
      <vt:lpstr>T_MILE_ROWV</vt:lpstr>
      <vt:lpstr>T_PTF_COL</vt:lpstr>
      <vt:lpstr>T_PTF_ROW</vt:lpstr>
      <vt:lpstr>T_PTF_ROWV</vt:lpstr>
      <vt:lpstr>T_STUHFI_COL</vt:lpstr>
      <vt:lpstr>T_STUHFI_COMM_COL</vt:lpstr>
      <vt:lpstr>T_STUHFI_COMM_ROW</vt:lpstr>
      <vt:lpstr>T_STUHFI_COMM_ROWV</vt:lpstr>
      <vt:lpstr>T_STUHFI_ROW1</vt:lpstr>
      <vt:lpstr>T_STUHFI_ROW2</vt:lpstr>
      <vt:lpstr>T_STUHFI_ROWV</vt:lpstr>
      <vt:lpstr>T_SUMM_COMM_COL</vt:lpstr>
      <vt:lpstr>T_SUMM_COMM_ROW</vt:lpstr>
      <vt:lpstr>T_SUMM_COMM_ROWV</vt:lpstr>
      <vt:lpstr>T_VAL_COL</vt:lpstr>
      <vt:lpstr>T_VAL_ROW</vt:lpstr>
      <vt:lpstr>T_VAL_ROWV</vt:lpstr>
      <vt:lpstr>'Fee Summary'!target</vt:lpstr>
      <vt:lpstr>'FT Fee'!target</vt:lpstr>
      <vt:lpstr>'FT Fee (Franchise)'!target</vt:lpstr>
      <vt:lpstr>'PT Fee'!target</vt:lpstr>
      <vt:lpstr>'Sponsorship arrangements'!target</vt:lpstr>
      <vt:lpstr>target</vt:lpstr>
      <vt:lpstr>'Sponsorship arrangements'!TEF2_status</vt:lpstr>
      <vt:lpstr>TEF2_status</vt:lpstr>
    </vt:vector>
  </TitlesOfParts>
  <Company>HEFCE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Kerrison [7185]</dc:creator>
  <cp:lastModifiedBy>Heather Withington</cp:lastModifiedBy>
  <dcterms:created xsi:type="dcterms:W3CDTF">2017-12-04T09:46:14Z</dcterms:created>
  <dcterms:modified xsi:type="dcterms:W3CDTF">2021-10-07T12:35:02Z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0x01010053646E4923AD834F89807207D8A3B942</vt:lpwstr>
  </property>
</Properties>
</file>